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autoCompressPictures="0"/>
  <mc:AlternateContent xmlns:mc="http://schemas.openxmlformats.org/markup-compatibility/2006">
    <mc:Choice Requires="x15">
      <x15ac:absPath xmlns:x15ac="http://schemas.microsoft.com/office/spreadsheetml/2010/11/ac" url="X:\Commonwealth Organic Energy\Consulting Services\WWTP Sludge Survey\Deliverables\REVISED FINAL 2019-12\Titled for Posting\"/>
    </mc:Choice>
  </mc:AlternateContent>
  <xr:revisionPtr revIDLastSave="0" documentId="8_{C0497031-FDF7-49AA-911B-DCAFA55F8573}" xr6:coauthVersionLast="44" xr6:coauthVersionMax="44" xr10:uidLastSave="{00000000-0000-0000-0000-000000000000}"/>
  <bookViews>
    <workbookView xWindow="1965" yWindow="1740" windowWidth="23235" windowHeight="14010" xr2:uid="{00000000-000D-0000-FFFF-FFFF00000000}"/>
  </bookViews>
  <sheets>
    <sheet name="MASTER-MA Sludge Survy Analysis" sheetId="1" r:id="rId1"/>
  </sheet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Q84" i="1" l="1"/>
  <c r="EV140" i="1"/>
  <c r="EV139" i="1"/>
  <c r="EW138" i="1"/>
  <c r="EV138" i="1"/>
  <c r="EW144" i="1"/>
  <c r="EV142" i="1"/>
  <c r="AT40" i="1"/>
  <c r="AT146" i="1" s="1"/>
  <c r="AT104" i="1"/>
  <c r="AI87" i="1"/>
  <c r="AT87" i="1"/>
  <c r="AT78" i="1"/>
  <c r="AT73" i="1"/>
  <c r="AT57" i="1"/>
  <c r="AT47" i="1"/>
  <c r="AK35" i="1"/>
  <c r="AI35" i="1"/>
  <c r="AT35" i="1" s="1"/>
  <c r="AI25" i="1"/>
  <c r="AT25" i="1" s="1"/>
  <c r="AT14" i="1"/>
  <c r="AT135" i="1" s="1"/>
  <c r="AT109" i="1"/>
  <c r="AT34" i="1"/>
  <c r="AT50" i="1"/>
  <c r="AT68" i="1"/>
  <c r="AT125" i="1"/>
  <c r="AT145" i="1"/>
  <c r="AI70" i="1"/>
  <c r="AI68" i="1"/>
  <c r="AI55" i="1"/>
  <c r="AI45" i="1"/>
  <c r="AI153" i="1" s="1"/>
  <c r="AJ153" i="1" s="1"/>
  <c r="AK153" i="1" s="1"/>
  <c r="AI34" i="1"/>
  <c r="AI128" i="1"/>
  <c r="AI126" i="1"/>
  <c r="AI152" i="1" s="1"/>
  <c r="AJ152" i="1" s="1"/>
  <c r="AK152" i="1" s="1"/>
  <c r="AI109" i="1"/>
  <c r="AI103" i="1"/>
  <c r="AI101" i="1"/>
  <c r="AI75" i="1"/>
  <c r="AI74" i="1"/>
  <c r="AI73" i="1"/>
  <c r="AI72" i="1"/>
  <c r="AI71" i="1"/>
  <c r="AI60" i="1"/>
  <c r="AI29" i="1"/>
  <c r="AI15" i="1"/>
  <c r="AI149" i="1" s="1"/>
  <c r="AI53" i="1"/>
  <c r="AI54" i="1"/>
  <c r="AI56" i="1"/>
  <c r="AI61" i="1"/>
  <c r="AI90" i="1"/>
  <c r="AI92" i="1"/>
  <c r="AI96" i="1"/>
  <c r="AI112" i="1"/>
  <c r="AI114" i="1"/>
  <c r="AI116" i="1"/>
  <c r="AI132" i="1"/>
  <c r="AI151" i="1"/>
  <c r="AJ151" i="1" s="1"/>
  <c r="AK151" i="1" s="1"/>
  <c r="AI93" i="1"/>
  <c r="AI16" i="1"/>
  <c r="AI17" i="1"/>
  <c r="AI28" i="1"/>
  <c r="AI51" i="1"/>
  <c r="AI64" i="1"/>
  <c r="AI89" i="1"/>
  <c r="AI94" i="1"/>
  <c r="AI110" i="1"/>
  <c r="AI117" i="1"/>
  <c r="AU117" i="1" s="1"/>
  <c r="AI21" i="1"/>
  <c r="AI22" i="1"/>
  <c r="AI32" i="1"/>
  <c r="AI38" i="1"/>
  <c r="AI106" i="1"/>
  <c r="AI125" i="1"/>
  <c r="EQ68" i="1"/>
  <c r="EQ134" i="1"/>
  <c r="EP43" i="1"/>
  <c r="EP51" i="1"/>
  <c r="EP134" i="1" s="1"/>
  <c r="EP68" i="1"/>
  <c r="EP93" i="1"/>
  <c r="EP101" i="1"/>
  <c r="ET119" i="1"/>
  <c r="EP119" i="1" s="1"/>
  <c r="ET63" i="1"/>
  <c r="EO63" i="1"/>
  <c r="EO134" i="1" s="1"/>
  <c r="EO67" i="1"/>
  <c r="EO68" i="1"/>
  <c r="EO124" i="1"/>
  <c r="EO129" i="1"/>
  <c r="EM134" i="1"/>
  <c r="EL134" i="1"/>
  <c r="BQ139" i="1"/>
  <c r="BQ140" i="1" s="1"/>
  <c r="BQ136" i="1"/>
  <c r="BQ145" i="1"/>
  <c r="BQ144" i="1" s="1"/>
  <c r="BJ137" i="1"/>
  <c r="BD136" i="1"/>
  <c r="BD135" i="1"/>
  <c r="AU15" i="1"/>
  <c r="AU17" i="1"/>
  <c r="AU22" i="1"/>
  <c r="AU24" i="1"/>
  <c r="AU28" i="1"/>
  <c r="AU29" i="1"/>
  <c r="AU32" i="1"/>
  <c r="AI33" i="1"/>
  <c r="AU33" i="1"/>
  <c r="AU34" i="1"/>
  <c r="AU37" i="1"/>
  <c r="AU38" i="1"/>
  <c r="AI39" i="1"/>
  <c r="AU39" i="1" s="1"/>
  <c r="AU41" i="1"/>
  <c r="AU44" i="1"/>
  <c r="AI48" i="1"/>
  <c r="AU48" i="1" s="1"/>
  <c r="AU53" i="1"/>
  <c r="AU56" i="1"/>
  <c r="AU60" i="1"/>
  <c r="AU64" i="1"/>
  <c r="AU65" i="1"/>
  <c r="AU66" i="1"/>
  <c r="AU68" i="1"/>
  <c r="AU70" i="1"/>
  <c r="AU71" i="1"/>
  <c r="AU74" i="1"/>
  <c r="AU75" i="1"/>
  <c r="AI76" i="1"/>
  <c r="AU76" i="1"/>
  <c r="AU77" i="1"/>
  <c r="AU80" i="1"/>
  <c r="AU82" i="1"/>
  <c r="AI86" i="1"/>
  <c r="AU86" i="1" s="1"/>
  <c r="AU89" i="1"/>
  <c r="AU90" i="1"/>
  <c r="AU92" i="1"/>
  <c r="AU93" i="1"/>
  <c r="AU94" i="1"/>
  <c r="AU101" i="1"/>
  <c r="AU102" i="1"/>
  <c r="AU103" i="1"/>
  <c r="AU105" i="1"/>
  <c r="AU109" i="1"/>
  <c r="AU112" i="1"/>
  <c r="AU114" i="1" a="1"/>
  <c r="AU114" i="1" s="1"/>
  <c r="AU116" i="1"/>
  <c r="AU123" i="1"/>
  <c r="AU125" i="1"/>
  <c r="AU126" i="1"/>
  <c r="AI129" i="1"/>
  <c r="AU129" i="1"/>
  <c r="AU130" i="1"/>
  <c r="AI131" i="1"/>
  <c r="AU131" i="1" s="1"/>
  <c r="AU132" i="1"/>
  <c r="AU133" i="1"/>
  <c r="AV18" i="1"/>
  <c r="AV21" i="1"/>
  <c r="AV27" i="1"/>
  <c r="AV31" i="1"/>
  <c r="AV32" i="1"/>
  <c r="AV34" i="1"/>
  <c r="AV40" i="1"/>
  <c r="AV45" i="1"/>
  <c r="AI46" i="1"/>
  <c r="AV46" i="1" s="1"/>
  <c r="AV55" i="1"/>
  <c r="AV56" i="1"/>
  <c r="AV59" i="1"/>
  <c r="AV68" i="1"/>
  <c r="AV73" i="1"/>
  <c r="AV74" i="1"/>
  <c r="AI79" i="1"/>
  <c r="AV79" i="1" s="1"/>
  <c r="AI81" i="1"/>
  <c r="AV81" i="1"/>
  <c r="AV100" i="1"/>
  <c r="AI108" i="1"/>
  <c r="AV108" i="1" s="1"/>
  <c r="AV120" i="1"/>
  <c r="AV121" i="1"/>
  <c r="AI83" i="1"/>
  <c r="AW83" i="1"/>
  <c r="AW135" i="1" s="1"/>
  <c r="AW149" i="1" s="1"/>
  <c r="AX135" i="1"/>
  <c r="AX149" i="1"/>
  <c r="AY54" i="1"/>
  <c r="AY61" i="1"/>
  <c r="AY68" i="1"/>
  <c r="AY72" i="1"/>
  <c r="AY137" i="1" s="1"/>
  <c r="AY96" i="1"/>
  <c r="AY106" i="1"/>
  <c r="AY128" i="1"/>
  <c r="AY135" i="1"/>
  <c r="AY149" i="1" s="1"/>
  <c r="AI13" i="1"/>
  <c r="AK13" i="1" s="1"/>
  <c r="AI14" i="1"/>
  <c r="AI140" i="1" s="1"/>
  <c r="AI18" i="1"/>
  <c r="AI19" i="1"/>
  <c r="AI40" i="1"/>
  <c r="AI57" i="1"/>
  <c r="AJ57" i="1" s="1"/>
  <c r="AI85" i="1"/>
  <c r="AI100" i="1"/>
  <c r="AK12" i="1"/>
  <c r="AK16" i="1"/>
  <c r="AK19" i="1"/>
  <c r="AK20" i="1"/>
  <c r="AK21" i="1"/>
  <c r="AK23" i="1"/>
  <c r="AK24" i="1"/>
  <c r="AK26" i="1"/>
  <c r="AK27" i="1"/>
  <c r="AK28" i="1"/>
  <c r="AK30" i="1"/>
  <c r="AK31" i="1"/>
  <c r="AK36" i="1"/>
  <c r="AK37" i="1"/>
  <c r="AK39" i="1"/>
  <c r="AK41" i="1"/>
  <c r="AK42" i="1"/>
  <c r="AK43" i="1"/>
  <c r="AK44" i="1"/>
  <c r="AK45" i="1"/>
  <c r="AK47" i="1"/>
  <c r="AK49" i="1"/>
  <c r="AK50" i="1"/>
  <c r="AK52" i="1"/>
  <c r="AK53" i="1"/>
  <c r="AK56" i="1"/>
  <c r="AK58" i="1"/>
  <c r="AK59" i="1"/>
  <c r="AK61" i="1"/>
  <c r="AK62" i="1"/>
  <c r="AK63" i="1"/>
  <c r="AK65" i="1"/>
  <c r="AK66" i="1"/>
  <c r="AK67" i="1"/>
  <c r="AK68" i="1"/>
  <c r="AK69" i="1"/>
  <c r="AK77" i="1"/>
  <c r="AK78" i="1"/>
  <c r="AK80" i="1"/>
  <c r="AK81" i="1"/>
  <c r="AK82" i="1"/>
  <c r="AK84" i="1"/>
  <c r="AK85" i="1"/>
  <c r="AK86" i="1"/>
  <c r="AK88" i="1"/>
  <c r="AK91" i="1"/>
  <c r="AK92" i="1"/>
  <c r="AK93" i="1"/>
  <c r="AK95" i="1"/>
  <c r="AK96" i="1"/>
  <c r="AK97" i="1"/>
  <c r="AK98" i="1"/>
  <c r="AK99" i="1"/>
  <c r="AK101" i="1"/>
  <c r="AK102" i="1"/>
  <c r="AK104" i="1"/>
  <c r="AK105" i="1"/>
  <c r="AK106" i="1"/>
  <c r="AK107" i="1"/>
  <c r="AK111" i="1"/>
  <c r="AK112" i="1"/>
  <c r="AK113" i="1"/>
  <c r="AK115" i="1"/>
  <c r="AK118" i="1"/>
  <c r="AK119" i="1"/>
  <c r="AK120" i="1"/>
  <c r="AK121" i="1"/>
  <c r="AK122" i="1"/>
  <c r="AK123" i="1"/>
  <c r="AK124" i="1"/>
  <c r="AK127" i="1"/>
  <c r="AK128" i="1"/>
  <c r="AK129" i="1"/>
  <c r="AK130" i="1"/>
  <c r="AK133" i="1"/>
  <c r="BD137" i="1"/>
  <c r="M135" i="1"/>
  <c r="L51" i="1"/>
  <c r="L135" i="1" s="1"/>
  <c r="AR135" i="1"/>
  <c r="AR136" i="1"/>
  <c r="AQ136" i="1"/>
  <c r="B136" i="1"/>
  <c r="B137" i="1"/>
  <c r="AJ85" i="1"/>
  <c r="EV144" i="1"/>
  <c r="EV145" i="1"/>
  <c r="EW145" i="1"/>
  <c r="EV134" i="1"/>
  <c r="EW134" i="1"/>
  <c r="EL137" i="1"/>
  <c r="ER136" i="1"/>
  <c r="AL137" i="1"/>
  <c r="AM137" i="1"/>
  <c r="AN137" i="1"/>
  <c r="AO137" i="1"/>
  <c r="AP137" i="1"/>
  <c r="AQ137" i="1"/>
  <c r="AR137" i="1"/>
  <c r="AS137" i="1"/>
  <c r="AX137" i="1"/>
  <c r="AZ137" i="1"/>
  <c r="BA137" i="1"/>
  <c r="BB137" i="1"/>
  <c r="BC137" i="1"/>
  <c r="BE137" i="1"/>
  <c r="BF137" i="1"/>
  <c r="BG137" i="1"/>
  <c r="BH137" i="1"/>
  <c r="BI137" i="1"/>
  <c r="BK137" i="1"/>
  <c r="BL137" i="1"/>
  <c r="BM137" i="1"/>
  <c r="BN137" i="1"/>
  <c r="BO137" i="1"/>
  <c r="BP137" i="1"/>
  <c r="BQ137" i="1"/>
  <c r="BR137" i="1"/>
  <c r="BS137" i="1"/>
  <c r="BT137" i="1"/>
  <c r="BU137" i="1"/>
  <c r="BV137" i="1"/>
  <c r="BW137" i="1"/>
  <c r="BX137" i="1"/>
  <c r="BY137" i="1"/>
  <c r="BZ137" i="1"/>
  <c r="CA137" i="1"/>
  <c r="CB137" i="1"/>
  <c r="CC137" i="1"/>
  <c r="CD137" i="1"/>
  <c r="CE137" i="1"/>
  <c r="CF137" i="1"/>
  <c r="CG137" i="1"/>
  <c r="CH137" i="1"/>
  <c r="CI137" i="1"/>
  <c r="CJ137" i="1"/>
  <c r="CK137" i="1"/>
  <c r="CL137" i="1"/>
  <c r="CM137" i="1"/>
  <c r="CN137" i="1"/>
  <c r="CO137" i="1"/>
  <c r="CP137" i="1"/>
  <c r="CQ137" i="1"/>
  <c r="CR137" i="1"/>
  <c r="CS137" i="1"/>
  <c r="CT137" i="1"/>
  <c r="CU137" i="1"/>
  <c r="CV137" i="1"/>
  <c r="CW137" i="1"/>
  <c r="CX137" i="1"/>
  <c r="CY137" i="1"/>
  <c r="CZ137" i="1"/>
  <c r="DA137" i="1"/>
  <c r="DB137" i="1"/>
  <c r="DC137" i="1"/>
  <c r="DD137" i="1"/>
  <c r="DE137" i="1"/>
  <c r="DF137" i="1"/>
  <c r="DG137" i="1"/>
  <c r="DH137" i="1"/>
  <c r="DI137" i="1"/>
  <c r="DJ137" i="1"/>
  <c r="DK137" i="1"/>
  <c r="DL137" i="1"/>
  <c r="DM137" i="1"/>
  <c r="DN137" i="1"/>
  <c r="DO137" i="1"/>
  <c r="DP137" i="1"/>
  <c r="DQ137" i="1"/>
  <c r="DR137" i="1"/>
  <c r="DS137" i="1"/>
  <c r="DT137" i="1"/>
  <c r="DU137" i="1"/>
  <c r="DV137" i="1"/>
  <c r="DW137" i="1"/>
  <c r="DX137" i="1"/>
  <c r="DY137" i="1"/>
  <c r="DZ137" i="1"/>
  <c r="EA137" i="1"/>
  <c r="EB137" i="1"/>
  <c r="EC137" i="1"/>
  <c r="ED137" i="1"/>
  <c r="EE137" i="1"/>
  <c r="EF137" i="1"/>
  <c r="EG137" i="1"/>
  <c r="EH137" i="1"/>
  <c r="EI137" i="1"/>
  <c r="EJ137" i="1"/>
  <c r="EK137" i="1"/>
  <c r="EM137" i="1"/>
  <c r="EN137" i="1"/>
  <c r="EO137" i="1"/>
  <c r="EQ137" i="1"/>
  <c r="AL138" i="1"/>
  <c r="AM138" i="1"/>
  <c r="AN138" i="1"/>
  <c r="AO138" i="1"/>
  <c r="AP138" i="1"/>
  <c r="AQ138" i="1"/>
  <c r="AR138" i="1"/>
  <c r="AS138" i="1"/>
  <c r="AX138" i="1"/>
  <c r="AY138" i="1"/>
  <c r="AZ138" i="1"/>
  <c r="BA138" i="1"/>
  <c r="BB138" i="1"/>
  <c r="BC138" i="1"/>
  <c r="BD138" i="1"/>
  <c r="BE138" i="1"/>
  <c r="BF138" i="1"/>
  <c r="BG138" i="1"/>
  <c r="BH138" i="1"/>
  <c r="BI138" i="1"/>
  <c r="BJ138" i="1"/>
  <c r="BK138" i="1"/>
  <c r="BL138" i="1"/>
  <c r="BM138" i="1"/>
  <c r="BN138" i="1"/>
  <c r="BO138" i="1"/>
  <c r="BP138" i="1"/>
  <c r="BQ138" i="1"/>
  <c r="BR138" i="1"/>
  <c r="BS138" i="1"/>
  <c r="BT138" i="1"/>
  <c r="BU138" i="1"/>
  <c r="BV138" i="1"/>
  <c r="BW138" i="1"/>
  <c r="BX138" i="1"/>
  <c r="BY138" i="1"/>
  <c r="BZ138" i="1"/>
  <c r="CA138" i="1"/>
  <c r="CB138" i="1"/>
  <c r="CC138" i="1"/>
  <c r="CD138" i="1"/>
  <c r="CE138" i="1"/>
  <c r="CF138" i="1"/>
  <c r="CG138" i="1"/>
  <c r="CH138" i="1"/>
  <c r="CI138" i="1"/>
  <c r="CJ138" i="1"/>
  <c r="CK138" i="1"/>
  <c r="CL138" i="1"/>
  <c r="CM138" i="1"/>
  <c r="CN138" i="1"/>
  <c r="CO138" i="1"/>
  <c r="CP138" i="1"/>
  <c r="CQ138" i="1"/>
  <c r="CR138" i="1"/>
  <c r="CS138" i="1"/>
  <c r="CT138" i="1"/>
  <c r="CU138" i="1"/>
  <c r="CV138" i="1"/>
  <c r="CW138" i="1"/>
  <c r="CX138" i="1"/>
  <c r="CY138" i="1"/>
  <c r="CZ138" i="1"/>
  <c r="DA138" i="1"/>
  <c r="DB138" i="1"/>
  <c r="DC138" i="1"/>
  <c r="DD138" i="1"/>
  <c r="DE138" i="1"/>
  <c r="DF138" i="1"/>
  <c r="DG138" i="1"/>
  <c r="DH138" i="1"/>
  <c r="DI138" i="1"/>
  <c r="DJ138" i="1"/>
  <c r="DK138" i="1"/>
  <c r="DL138" i="1"/>
  <c r="DM138" i="1"/>
  <c r="DN138" i="1"/>
  <c r="DO138" i="1"/>
  <c r="DP138" i="1"/>
  <c r="DQ138" i="1"/>
  <c r="DR138" i="1"/>
  <c r="DS138" i="1"/>
  <c r="DT138" i="1"/>
  <c r="DU138" i="1"/>
  <c r="DV138" i="1"/>
  <c r="DW138" i="1"/>
  <c r="DX138" i="1"/>
  <c r="DY138" i="1"/>
  <c r="DZ138" i="1"/>
  <c r="EA138" i="1"/>
  <c r="EB138" i="1"/>
  <c r="EC138" i="1"/>
  <c r="ED138" i="1"/>
  <c r="EE138" i="1"/>
  <c r="EF138" i="1"/>
  <c r="EG138" i="1"/>
  <c r="EH138" i="1"/>
  <c r="EI138" i="1"/>
  <c r="EJ138" i="1"/>
  <c r="EK138" i="1"/>
  <c r="EL138" i="1"/>
  <c r="EM138" i="1"/>
  <c r="EN138" i="1"/>
  <c r="EO138" i="1"/>
  <c r="EQ138" i="1"/>
  <c r="ET12" i="1"/>
  <c r="ET15" i="1"/>
  <c r="ET17" i="1"/>
  <c r="ET20" i="1"/>
  <c r="ET23" i="1"/>
  <c r="ET29" i="1"/>
  <c r="ET30" i="1"/>
  <c r="ET32" i="1"/>
  <c r="ET34" i="1"/>
  <c r="ET36" i="1"/>
  <c r="ET38" i="1"/>
  <c r="ET39" i="1"/>
  <c r="ET42" i="1"/>
  <c r="ET43" i="1"/>
  <c r="ET45" i="1"/>
  <c r="ET49" i="1"/>
  <c r="ET52" i="1"/>
  <c r="ET53" i="1"/>
  <c r="ET54" i="1"/>
  <c r="ET55" i="1"/>
  <c r="ET56" i="1"/>
  <c r="ET58" i="1"/>
  <c r="ET61" i="1"/>
  <c r="ET64" i="1"/>
  <c r="ET67" i="1"/>
  <c r="ET68" i="1"/>
  <c r="ET70" i="1"/>
  <c r="ET71" i="1"/>
  <c r="ET73" i="1"/>
  <c r="ET74" i="1"/>
  <c r="ET75" i="1"/>
  <c r="ET77" i="1"/>
  <c r="ET83" i="1"/>
  <c r="ET84" i="1"/>
  <c r="ET87" i="1"/>
  <c r="ET88" i="1"/>
  <c r="ET89" i="1"/>
  <c r="ET90" i="1"/>
  <c r="ET91" i="1"/>
  <c r="ET92" i="1"/>
  <c r="ET93" i="1"/>
  <c r="ET95" i="1"/>
  <c r="ET96" i="1"/>
  <c r="ET97" i="1"/>
  <c r="ET98" i="1"/>
  <c r="ET99" i="1"/>
  <c r="ET100" i="1"/>
  <c r="ET101" i="1"/>
  <c r="ET103" i="1"/>
  <c r="ET106" i="1"/>
  <c r="ET109" i="1"/>
  <c r="ET110" i="1"/>
  <c r="ET111" i="1"/>
  <c r="ET112" i="1"/>
  <c r="ET114" i="1"/>
  <c r="ET115" i="1"/>
  <c r="ET116" i="1"/>
  <c r="ET124" i="1"/>
  <c r="ET126" i="1"/>
  <c r="ET127" i="1"/>
  <c r="ET128" i="1"/>
  <c r="ET129" i="1"/>
  <c r="ET132" i="1"/>
  <c r="AP143" i="1"/>
  <c r="AP142" i="1"/>
  <c r="AJ77" i="1"/>
  <c r="AQ135" i="1"/>
  <c r="AJ12" i="1"/>
  <c r="AJ13" i="1"/>
  <c r="AJ14" i="1"/>
  <c r="AJ15" i="1"/>
  <c r="AJ16" i="1"/>
  <c r="AJ17" i="1"/>
  <c r="AJ18" i="1"/>
  <c r="AJ19" i="1"/>
  <c r="AJ20" i="1"/>
  <c r="AJ21" i="1"/>
  <c r="AJ22" i="1"/>
  <c r="AJ23" i="1"/>
  <c r="AJ25" i="1"/>
  <c r="AJ24" i="1"/>
  <c r="AJ26" i="1"/>
  <c r="AJ27" i="1"/>
  <c r="AJ29" i="1"/>
  <c r="AJ28" i="1"/>
  <c r="AJ30" i="1"/>
  <c r="AJ31" i="1"/>
  <c r="AJ32" i="1"/>
  <c r="AJ83" i="1"/>
  <c r="AJ33" i="1"/>
  <c r="AJ34" i="1"/>
  <c r="AJ94" i="1"/>
  <c r="AJ36" i="1"/>
  <c r="AJ38" i="1"/>
  <c r="AJ39" i="1"/>
  <c r="AJ42" i="1"/>
  <c r="AJ43" i="1"/>
  <c r="AJ44" i="1"/>
  <c r="AJ45" i="1"/>
  <c r="AJ53" i="1"/>
  <c r="AJ47" i="1"/>
  <c r="AJ48" i="1"/>
  <c r="AJ49" i="1"/>
  <c r="AJ50" i="1"/>
  <c r="AJ51" i="1"/>
  <c r="AJ52" i="1"/>
  <c r="AJ54" i="1"/>
  <c r="AJ55" i="1"/>
  <c r="AJ56" i="1"/>
  <c r="AJ58" i="1"/>
  <c r="AJ59" i="1"/>
  <c r="AJ60" i="1"/>
  <c r="AJ61" i="1"/>
  <c r="AJ62" i="1"/>
  <c r="AJ63" i="1"/>
  <c r="AJ64" i="1"/>
  <c r="AJ65" i="1"/>
  <c r="AJ66" i="1"/>
  <c r="AJ67" i="1"/>
  <c r="AJ68" i="1"/>
  <c r="AJ69" i="1"/>
  <c r="AJ70" i="1"/>
  <c r="AJ71" i="1"/>
  <c r="AJ72" i="1"/>
  <c r="AJ73" i="1"/>
  <c r="AJ74" i="1"/>
  <c r="AJ75" i="1"/>
  <c r="AJ84" i="1"/>
  <c r="AJ76" i="1"/>
  <c r="AJ78" i="1"/>
  <c r="AJ80" i="1"/>
  <c r="AJ81" i="1"/>
  <c r="AJ82" i="1"/>
  <c r="AJ86" i="1"/>
  <c r="AJ87" i="1"/>
  <c r="AJ88" i="1"/>
  <c r="AJ89" i="1"/>
  <c r="AJ90" i="1"/>
  <c r="AJ91" i="1"/>
  <c r="AJ92" i="1"/>
  <c r="AJ93" i="1"/>
  <c r="AJ95" i="1"/>
  <c r="AJ96" i="1"/>
  <c r="AJ97" i="1"/>
  <c r="AJ98" i="1"/>
  <c r="AJ99" i="1"/>
  <c r="AJ100" i="1"/>
  <c r="AJ101" i="1"/>
  <c r="AJ102" i="1"/>
  <c r="AJ103" i="1"/>
  <c r="AJ104" i="1"/>
  <c r="AJ105" i="1"/>
  <c r="AJ106" i="1"/>
  <c r="AJ107" i="1"/>
  <c r="AJ108" i="1"/>
  <c r="AJ109" i="1"/>
  <c r="AJ110" i="1"/>
  <c r="AJ111" i="1"/>
  <c r="AJ112" i="1"/>
  <c r="AJ113" i="1"/>
  <c r="AJ114" i="1"/>
  <c r="AJ115" i="1"/>
  <c r="AJ116" i="1"/>
  <c r="AJ117" i="1"/>
  <c r="AJ118" i="1"/>
  <c r="AJ119" i="1"/>
  <c r="AJ120" i="1"/>
  <c r="AJ121" i="1"/>
  <c r="AJ122" i="1"/>
  <c r="AJ123" i="1"/>
  <c r="AJ124" i="1"/>
  <c r="AJ125" i="1"/>
  <c r="AJ126" i="1"/>
  <c r="AJ127" i="1"/>
  <c r="AJ128" i="1"/>
  <c r="AJ129" i="1"/>
  <c r="AJ130" i="1"/>
  <c r="AJ131" i="1"/>
  <c r="AJ132" i="1"/>
  <c r="AJ133" i="1"/>
  <c r="Q114" i="1"/>
  <c r="Q12" i="1"/>
  <c r="Q14" i="1"/>
  <c r="Q15" i="1"/>
  <c r="P17" i="1"/>
  <c r="Q17" i="1"/>
  <c r="Q19" i="1"/>
  <c r="Q20" i="1"/>
  <c r="Q21" i="1"/>
  <c r="Q23" i="1"/>
  <c r="Q25" i="1"/>
  <c r="Q26" i="1"/>
  <c r="P29" i="1"/>
  <c r="Q29" i="1"/>
  <c r="Q30" i="1"/>
  <c r="Q32" i="1"/>
  <c r="Q83" i="1"/>
  <c r="Q34" i="1"/>
  <c r="Q36" i="1"/>
  <c r="Q38" i="1"/>
  <c r="Q39" i="1"/>
  <c r="Q42" i="1"/>
  <c r="Q43" i="1"/>
  <c r="Q45" i="1"/>
  <c r="Q53" i="1"/>
  <c r="Q47" i="1"/>
  <c r="Q49" i="1"/>
  <c r="Q50" i="1"/>
  <c r="Q52" i="1"/>
  <c r="Q54" i="1"/>
  <c r="Q55" i="1"/>
  <c r="Q56" i="1"/>
  <c r="Q57" i="1"/>
  <c r="Q58" i="1"/>
  <c r="Q60" i="1"/>
  <c r="Q61" i="1"/>
  <c r="Q62" i="1"/>
  <c r="Q63" i="1"/>
  <c r="Q64" i="1"/>
  <c r="Q67" i="1"/>
  <c r="Q68" i="1"/>
  <c r="Q69" i="1"/>
  <c r="Q70" i="1"/>
  <c r="Q71" i="1"/>
  <c r="Q72" i="1"/>
  <c r="Q73" i="1"/>
  <c r="Q74" i="1"/>
  <c r="Q75" i="1"/>
  <c r="Q77" i="1"/>
  <c r="Q85" i="1"/>
  <c r="Q86" i="1"/>
  <c r="Q87" i="1"/>
  <c r="Q88" i="1"/>
  <c r="Q89" i="1"/>
  <c r="Q90" i="1"/>
  <c r="Q91" i="1"/>
  <c r="Q92" i="1"/>
  <c r="Q93" i="1"/>
  <c r="Q95" i="1"/>
  <c r="Q96" i="1"/>
  <c r="Q97" i="1"/>
  <c r="Q98" i="1"/>
  <c r="Q99" i="1"/>
  <c r="Q100" i="1"/>
  <c r="Q101" i="1"/>
  <c r="Q103" i="1"/>
  <c r="Q106" i="1"/>
  <c r="Q109" i="1"/>
  <c r="Q110" i="1"/>
  <c r="Q111" i="1"/>
  <c r="Q112" i="1"/>
  <c r="Q113" i="1"/>
  <c r="Q115" i="1"/>
  <c r="Q116" i="1"/>
  <c r="Q118" i="1"/>
  <c r="Q119" i="1"/>
  <c r="Q122" i="1"/>
  <c r="Q124" i="1"/>
  <c r="Q126" i="1"/>
  <c r="Q127" i="1"/>
  <c r="Q128" i="1"/>
  <c r="Q129" i="1"/>
  <c r="Q132" i="1"/>
  <c r="M136" i="1"/>
  <c r="M145" i="1"/>
  <c r="M146" i="1"/>
  <c r="M147" i="1"/>
  <c r="M149" i="1"/>
  <c r="N51" i="1"/>
  <c r="N136" i="1" s="1"/>
  <c r="EW139" i="1"/>
  <c r="EW140" i="1"/>
  <c r="EW142" i="1"/>
  <c r="EW143" i="1"/>
  <c r="EV143" i="1"/>
  <c r="EE136" i="1"/>
  <c r="EK135" i="1" s="1"/>
  <c r="EF136" i="1"/>
  <c r="EG136" i="1"/>
  <c r="EH136" i="1"/>
  <c r="EI136" i="1"/>
  <c r="EJ136" i="1"/>
  <c r="EK136" i="1"/>
  <c r="ES135" i="1"/>
  <c r="ES136" i="1"/>
  <c r="EU136" i="1"/>
  <c r="EV136" i="1"/>
  <c r="EW136" i="1"/>
  <c r="EX136" i="1"/>
  <c r="EY136" i="1"/>
  <c r="EZ136" i="1"/>
  <c r="FA136" i="1"/>
  <c r="FB136" i="1"/>
  <c r="FC136" i="1"/>
  <c r="FD136" i="1"/>
  <c r="FE136" i="1"/>
  <c r="FF136" i="1"/>
  <c r="FG136" i="1"/>
  <c r="FH136" i="1"/>
  <c r="FI136" i="1"/>
  <c r="FJ136" i="1"/>
  <c r="FK136" i="1"/>
  <c r="FL136" i="1"/>
  <c r="FM136" i="1"/>
  <c r="FN136" i="1"/>
  <c r="FO136" i="1"/>
  <c r="FP136" i="1"/>
  <c r="FQ136" i="1"/>
  <c r="FR136" i="1"/>
  <c r="FS136" i="1"/>
  <c r="FT136" i="1"/>
  <c r="FU136" i="1"/>
  <c r="FV136" i="1"/>
  <c r="FW136" i="1"/>
  <c r="FX136" i="1"/>
  <c r="FY136" i="1"/>
  <c r="FZ136" i="1"/>
  <c r="GA136" i="1"/>
  <c r="GB136" i="1"/>
  <c r="GC136" i="1"/>
  <c r="GD136" i="1"/>
  <c r="DS136" i="1"/>
  <c r="DT136" i="1"/>
  <c r="DU136" i="1"/>
  <c r="DV136" i="1"/>
  <c r="DW136" i="1"/>
  <c r="DX136" i="1"/>
  <c r="DY136" i="1"/>
  <c r="DZ136" i="1"/>
  <c r="EA136" i="1"/>
  <c r="EB136" i="1"/>
  <c r="EC136" i="1"/>
  <c r="ED136" i="1"/>
  <c r="EL136" i="1"/>
  <c r="EM136" i="1"/>
  <c r="EN136" i="1"/>
  <c r="EO136" i="1"/>
  <c r="EQ136" i="1"/>
  <c r="BX136" i="1"/>
  <c r="BY136" i="1"/>
  <c r="BZ136" i="1"/>
  <c r="CA136" i="1"/>
  <c r="CB136" i="1"/>
  <c r="CC136" i="1"/>
  <c r="CD136" i="1"/>
  <c r="CE136" i="1"/>
  <c r="CF136" i="1"/>
  <c r="CG136" i="1"/>
  <c r="CH136" i="1"/>
  <c r="CI136" i="1"/>
  <c r="CJ136" i="1"/>
  <c r="CK136" i="1"/>
  <c r="CL136" i="1"/>
  <c r="CM136" i="1"/>
  <c r="CN136" i="1"/>
  <c r="CO136" i="1"/>
  <c r="CP136" i="1"/>
  <c r="CQ136" i="1"/>
  <c r="CR136" i="1"/>
  <c r="CS136" i="1"/>
  <c r="CT136" i="1"/>
  <c r="CU136" i="1"/>
  <c r="CV136" i="1"/>
  <c r="CW136" i="1"/>
  <c r="CX136" i="1"/>
  <c r="CY136" i="1"/>
  <c r="CZ136" i="1"/>
  <c r="DA136" i="1"/>
  <c r="DB136" i="1"/>
  <c r="DC136" i="1"/>
  <c r="DD136" i="1"/>
  <c r="DE136" i="1"/>
  <c r="DF136" i="1"/>
  <c r="DG136" i="1"/>
  <c r="DH136" i="1"/>
  <c r="DI136" i="1"/>
  <c r="DJ136" i="1"/>
  <c r="DK136" i="1"/>
  <c r="DL136" i="1"/>
  <c r="DM136" i="1"/>
  <c r="DN136" i="1"/>
  <c r="DO136" i="1"/>
  <c r="DP136" i="1"/>
  <c r="DQ136" i="1"/>
  <c r="DR136" i="1"/>
  <c r="BR136" i="1"/>
  <c r="BS136" i="1"/>
  <c r="BT136" i="1"/>
  <c r="BU136" i="1"/>
  <c r="BV136" i="1"/>
  <c r="BW136" i="1"/>
  <c r="BQ134" i="1"/>
  <c r="BE135" i="1"/>
  <c r="BF135" i="1"/>
  <c r="BG135" i="1"/>
  <c r="BH135" i="1"/>
  <c r="BI135" i="1"/>
  <c r="BJ135" i="1"/>
  <c r="BK135" i="1"/>
  <c r="BL135" i="1"/>
  <c r="BM135" i="1"/>
  <c r="BN135" i="1"/>
  <c r="BO135" i="1"/>
  <c r="BP135" i="1"/>
  <c r="AZ139" i="1"/>
  <c r="AW136" i="1"/>
  <c r="AS135" i="1"/>
  <c r="AS136" i="1" s="1"/>
  <c r="AS134" i="1"/>
  <c r="AR134" i="1"/>
  <c r="AP140" i="1"/>
  <c r="P135" i="1"/>
  <c r="P142" i="1" s="1"/>
  <c r="P152" i="1"/>
  <c r="P144" i="1"/>
  <c r="N135" i="1"/>
  <c r="N146" i="1"/>
  <c r="N147" i="1"/>
  <c r="O135" i="1"/>
  <c r="O136" i="1"/>
  <c r="M144" i="1"/>
  <c r="M143" i="1"/>
  <c r="M142" i="1"/>
  <c r="M148" i="1"/>
  <c r="M137" i="1"/>
  <c r="O137" i="1"/>
  <c r="N143" i="1"/>
  <c r="N142" i="1"/>
  <c r="N137" i="1"/>
  <c r="P136" i="1"/>
  <c r="R135" i="1"/>
  <c r="R136" i="1"/>
  <c r="S135" i="1"/>
  <c r="S136" i="1"/>
  <c r="T136" i="1"/>
  <c r="U135" i="1"/>
  <c r="U136" i="1"/>
  <c r="V135" i="1"/>
  <c r="V136" i="1"/>
  <c r="W136" i="1"/>
  <c r="X135" i="1"/>
  <c r="X136" i="1"/>
  <c r="Y135" i="1"/>
  <c r="Y136" i="1"/>
  <c r="Z135" i="1"/>
  <c r="Z136" i="1"/>
  <c r="AA135" i="1"/>
  <c r="AA136" i="1"/>
  <c r="AB136" i="1"/>
  <c r="AC135" i="1"/>
  <c r="AC136" i="1"/>
  <c r="AD135" i="1"/>
  <c r="AD136" i="1"/>
  <c r="AE135" i="1"/>
  <c r="AE136" i="1"/>
  <c r="AF135" i="1"/>
  <c r="AF136" i="1"/>
  <c r="AG135" i="1"/>
  <c r="AG136" i="1"/>
  <c r="AH135" i="1"/>
  <c r="AH136" i="1"/>
  <c r="AL135" i="1"/>
  <c r="AL136" i="1"/>
  <c r="AM135" i="1"/>
  <c r="AM136" i="1"/>
  <c r="AN135" i="1"/>
  <c r="AN136" i="1"/>
  <c r="AO135" i="1"/>
  <c r="AO136" i="1"/>
  <c r="AP136" i="1"/>
  <c r="AX136" i="1"/>
  <c r="BA136" i="1"/>
  <c r="BB136" i="1"/>
  <c r="BC136" i="1"/>
  <c r="BE136" i="1"/>
  <c r="BF136" i="1"/>
  <c r="BG136" i="1"/>
  <c r="BH136" i="1"/>
  <c r="BI136" i="1"/>
  <c r="BJ136" i="1"/>
  <c r="BK136" i="1"/>
  <c r="BL136" i="1"/>
  <c r="BM136" i="1"/>
  <c r="BN136" i="1"/>
  <c r="BO136" i="1"/>
  <c r="BP136" i="1"/>
  <c r="L136" i="1"/>
  <c r="AP139" i="1"/>
  <c r="P137" i="1"/>
  <c r="P147" i="1" l="1"/>
  <c r="P148" i="1" s="1"/>
  <c r="P146" i="1"/>
  <c r="M138" i="1"/>
  <c r="AK135" i="1"/>
  <c r="AK136" i="1"/>
  <c r="EP137" i="1"/>
  <c r="EP136" i="1"/>
  <c r="EP138" i="1"/>
  <c r="AT149" i="1"/>
  <c r="AU137" i="1"/>
  <c r="AU136" i="1"/>
  <c r="AU138" i="1"/>
  <c r="AU135" i="1"/>
  <c r="AU149" i="1" s="1"/>
  <c r="AT138" i="1"/>
  <c r="AT136" i="1"/>
  <c r="AT137" i="1"/>
  <c r="BQ141" i="1"/>
  <c r="BQ142" i="1" s="1"/>
  <c r="BQ143" i="1" s="1"/>
  <c r="AI150" i="1"/>
  <c r="AJ150" i="1" s="1"/>
  <c r="AK150" i="1" s="1"/>
  <c r="AJ149" i="1"/>
  <c r="AK149" i="1" s="1"/>
  <c r="P145" i="1"/>
  <c r="Q134" i="1"/>
  <c r="AV136" i="1"/>
  <c r="AV135" i="1"/>
  <c r="AV149" i="1" s="1"/>
  <c r="AT144" i="1"/>
  <c r="AT151" i="1" s="1"/>
  <c r="AY136" i="1"/>
  <c r="L137" i="1"/>
  <c r="N144" i="1"/>
  <c r="N148" i="1" s="1"/>
  <c r="N145" i="1"/>
  <c r="N149" i="1" s="1"/>
  <c r="AI136" i="1"/>
  <c r="AJ79" i="1"/>
  <c r="ET57" i="1"/>
  <c r="AW137" i="1"/>
  <c r="AI135" i="1"/>
  <c r="Q138" i="1"/>
  <c r="Q51" i="1"/>
  <c r="Q139" i="1" s="1"/>
  <c r="AJ46" i="1"/>
  <c r="AJ134" i="1" s="1"/>
  <c r="ET14" i="1"/>
  <c r="ET144" i="1" s="1"/>
  <c r="AW138" i="1"/>
  <c r="AV137" i="1"/>
  <c r="AV138" i="1"/>
  <c r="AT147" i="1" l="1"/>
  <c r="AJ137" i="1"/>
  <c r="AP144" i="1"/>
  <c r="AI142" i="1"/>
  <c r="AI143" i="1" s="1"/>
  <c r="AJ136" i="1"/>
  <c r="ET136" i="1"/>
  <c r="BQ146" i="1"/>
  <c r="AY144" i="1"/>
  <c r="P149" i="1"/>
  <c r="ET145" i="1"/>
  <c r="AJ138" i="1"/>
  <c r="ET134" i="1"/>
  <c r="AY145" i="1" l="1"/>
  <c r="AY146" i="1" s="1"/>
  <c r="AI146" i="1"/>
  <c r="AI145" i="1"/>
</calcChain>
</file>

<file path=xl/sharedStrings.xml><?xml version="1.0" encoding="utf-8"?>
<sst xmlns="http://schemas.openxmlformats.org/spreadsheetml/2006/main" count="3020" uniqueCount="1345">
  <si>
    <t>Average daily flow in 2018 (MGD). Enter just a number.</t>
  </si>
  <si>
    <t>Permitted (or design) capacity (MGD). Enter just a number.</t>
  </si>
  <si>
    <t>What is the actual RESIDENTIAL POPULATION served by your facility?(Don't include commercial population equivalents.)Enter just a number (your best estimate).</t>
  </si>
  <si>
    <t xml:space="preserve">Nitrification/Denitrification - Does your WWTP have nitrification/denitrification processes?  </t>
  </si>
  <si>
    <t>P removal - Does your WWTP have phosphorus (P) removal?</t>
  </si>
  <si>
    <t>Does your facility have an active industrial pretreatment program?</t>
  </si>
  <si>
    <t>Please add any comments or explanations:</t>
  </si>
  <si>
    <t>Indicate the units used in the answers below regarding quantities of solids/sludge/biosolids:</t>
  </si>
  <si>
    <t>What was the TOTAL QUANTITY of solids/sludge/biosolids that left your facility for use and/or disposal in 2018? PLEASE USE THE FORM OF MEASUREMENT INDICATED ABOVE AND ENTER IT IN THE PROPER LINE BELOW.</t>
  </si>
  <si>
    <t>% Solids - What is the average percent solids of the final solids (biosolids) leaving your WWTP (2018 data)?</t>
  </si>
  <si>
    <t>Please indicate the QUANTITY of the solids/sludge/biosolids from your WWTP used or disposed in the following ways in 2018. Enter just numbers. PLEASE USE THE SAME UNITS AS ABOVE (e.g. wet U. S. tons).  The totals here should add up to the total above.</t>
  </si>
  <si>
    <t>Septage - Does your WWTP take in septage?</t>
  </si>
  <si>
    <t>In 2018, how many GALLONS of septage did your WWTP receive? Enter just a number.</t>
  </si>
  <si>
    <t>Does your WWTP take in trucked-in waste other than septage?</t>
  </si>
  <si>
    <t>Please indicate what trucked-in waste other than septage. For 2018, show how many GALLONS of each:</t>
  </si>
  <si>
    <t>What is the ratio of primary solids (sludge) to WAS (waste activated sludge) typically generated at your WWTP (in 2018)?Example: 60% primary / 40% WAS. Move the slider to show the % of PRIMAY solids.</t>
  </si>
  <si>
    <t>What processes are used for processing solids/sludge at your WWTP?Check all that apply.</t>
  </si>
  <si>
    <t>What processes are used for THICKENING solids/sludge at your WWTP?  You must make a choice in each of the three columns/menus.</t>
  </si>
  <si>
    <t>Who manages the end use and/or disposal of solids/sludge/biosolids from your WWTP?</t>
  </si>
  <si>
    <t>Are the solids or biosolids distributed or disposed in BULK and/or in BAGS/CONTAINERS?</t>
  </si>
  <si>
    <t>Pathogen treatment - What CLASS are the biosolids from your facility?  Indicate the percentage of each:</t>
  </si>
  <si>
    <t>Vector attraction reduction (VAR) - If biosolids are land applied or disposed, what VAR process is used?</t>
  </si>
  <si>
    <t>Dewatering technology(ies) used at your facility (check all that apply):</t>
  </si>
  <si>
    <t>In 2018, where did the solids/sludge/biosolids from your WWTP end up?  Check all that apply.  Indicate the percentage of your WWTP's solids/biosolids sent to each type of site.  Should total 100%.</t>
  </si>
  <si>
    <t>What is the COST to your WWTP for each option (2018 prices)?   Enter the net $ per as-is wet ton for:transport from the WWTP + (plus) disposal fee - (minus) any per-ton revenue from sale of the biosolids.Give your best estimate.  If a contractor takes the solids, all you need to enter is the per-ton cost (as is/wet ton) they charge you for each option.</t>
  </si>
  <si>
    <t>How much did your WWTP pay TOTAL for all solids/sludge/biosolids disposal or use in 2018?  If a contractor manages the solids, all you have to enter is the total paid to them.  If WWTP staff transported the solids, estimate your transport costs and add any tipping fees.</t>
  </si>
  <si>
    <t>Do you expect the QUANTITY of solids/sludge produced at your WWTP to increase or decrease in the next 10 years?  Indicate the percentage change you expect for 2028 (compared to 2018 data reported above).</t>
  </si>
  <si>
    <t>Do you expect the TOTAL ANNUAL COST of solids/sludge management to increase or decrease in the next 10 years?Indicate the percentage change you expect for 2028 (compared to 2018 data reported above).</t>
  </si>
  <si>
    <t>At your WWTP, do you expect the solids/sludge treatment &amp; handling processes will be changed in the next 10 years?  Describe any changes you expect:</t>
  </si>
  <si>
    <t>Explain further any plans for changes in solids/sludge management in the next 10 years:</t>
  </si>
  <si>
    <t>Are you interested in collaborating or participating on a REGIONAL FACILITY located in MA for solids/sludge management?</t>
  </si>
  <si>
    <t>If yes, how important to you is a regional facility option?</t>
  </si>
  <si>
    <t>How likely would you be to HOST A REGIONAL SOLIDS HANDLING FACILITY at or near your WWTP?</t>
  </si>
  <si>
    <t>How likely would you be to SEND SOLIDS/SLUDGE to a regional facility somewhere else?</t>
  </si>
  <si>
    <t>A final report, including results and analysis from this survey, will be available from NEBRA, MWPCA, and/or Mass CEC.To request a copy, check the box below and provide your email address.</t>
  </si>
  <si>
    <t>We ask for your contact information to help us assure only one response from each facility and to allow us to contact you if we have any questions. Your contact information will not be shared with anyone. Completing this information is optional.</t>
  </si>
  <si>
    <t>Additional comments: Please add further explanations or clarifications here. For comments that apply to a specific question, please begin with the question number.</t>
  </si>
  <si>
    <t>Open-Ended Response</t>
  </si>
  <si>
    <t>Yes</t>
  </si>
  <si>
    <t>No</t>
  </si>
  <si>
    <t>Please describe:</t>
  </si>
  <si>
    <t>Please describe the P removal process:</t>
  </si>
  <si>
    <t>Don't know</t>
  </si>
  <si>
    <t>Not applicable</t>
  </si>
  <si>
    <t>DRY U. S. tons</t>
  </si>
  <si>
    <t>DRY METRIC tons</t>
  </si>
  <si>
    <t>WET U. S. tons</t>
  </si>
  <si>
    <t>WET METRIC tons</t>
  </si>
  <si>
    <t>Cubic yards</t>
  </si>
  <si>
    <t>Gallons</t>
  </si>
  <si>
    <t>DRY U.S. tons per year</t>
  </si>
  <si>
    <t>DRY METRIC tons per year</t>
  </si>
  <si>
    <t>WET U. S. tons per year</t>
  </si>
  <si>
    <t>WET METRIC tons per year</t>
  </si>
  <si>
    <t>CUBIC YARDS per year</t>
  </si>
  <si>
    <t>GALLONS per year</t>
  </si>
  <si>
    <t>The amount land applied (beneficially used on land) in 2018</t>
  </si>
  <si>
    <t>The amount incinerated in 2018</t>
  </si>
  <si>
    <t>The amount landfilled in 2018</t>
  </si>
  <si>
    <t>The amount disposed in a surface disposal unit / sludge monofill in 2018</t>
  </si>
  <si>
    <t>The amount put in storage for use/disposal after 2018</t>
  </si>
  <si>
    <t>The amount managed some other way in 2018</t>
  </si>
  <si>
    <t>Please clarify, if needed:</t>
  </si>
  <si>
    <t>landfill leachate put into anaerobic digesters</t>
  </si>
  <si>
    <t>landfill leachate put into headworks</t>
  </si>
  <si>
    <t>food waste put into anaerobic digesters</t>
  </si>
  <si>
    <t>food waste put into headworks</t>
  </si>
  <si>
    <t>industrial waste put into anaerobic digesters</t>
  </si>
  <si>
    <t>industrial waste put into headworks</t>
  </si>
  <si>
    <t>slaughterhouse &amp;/or farm waste put into anaerobic digesters</t>
  </si>
  <si>
    <t>slaughterhouse &amp;/or farm waste put into headworks</t>
  </si>
  <si>
    <t>Preliminary Operations (e.g., Sludge Grinding, Degritting, Blending)</t>
  </si>
  <si>
    <t>Thickening (Gravity and/or Flotation Thickening, Centrifugation, Belt Filter Press, Vacuum Filter, etc.)</t>
  </si>
  <si>
    <t>Aerobic digestion</t>
  </si>
  <si>
    <t>Anaerobic digestion</t>
  </si>
  <si>
    <t>Methane or biogas capture and recovery</t>
  </si>
  <si>
    <t>Lower temperature composting (Class B)</t>
  </si>
  <si>
    <t>Higher temperature composting (Class A)</t>
  </si>
  <si>
    <t>Lime stabilization</t>
  </si>
  <si>
    <t>Heat drying (e.g., Flash Dryer, Spray Dryer, Rotary Dryer, etc.)</t>
  </si>
  <si>
    <t>Temporary solids/sludge storage (Sewage Sludge Stored on Land 2 Years or Less, Not in Sewage Sludge Unit)</t>
  </si>
  <si>
    <t>Other treatment process (please specify)</t>
  </si>
  <si>
    <t>Thickening - primary - no thickening of primary by itself</t>
  </si>
  <si>
    <t>Thickening - primary - gravity thickener(s)</t>
  </si>
  <si>
    <t>Thickening - primary - gravity belt thickener(s) (GBT)</t>
  </si>
  <si>
    <t>Thickening - primary - centrifuge(s)</t>
  </si>
  <si>
    <t>Thickening - primary - belt filter press(es)</t>
  </si>
  <si>
    <t>Thickening - primary - vaccuum filter(s)</t>
  </si>
  <si>
    <t>Thickening - primary - other</t>
  </si>
  <si>
    <t>Thickening - WAS - no thickening of WAS by itself</t>
  </si>
  <si>
    <t>Thickening - WAS - gravity thickener(s)</t>
  </si>
  <si>
    <t>Thickening - WAS - gravity belt thickener(s) (GBT)</t>
  </si>
  <si>
    <t>Thickening - WAS - centrifuge(s)</t>
  </si>
  <si>
    <t>Thickening - WAS - belt filter press(es)</t>
  </si>
  <si>
    <t>Thickening - WAS - vaccuum filter(s)</t>
  </si>
  <si>
    <t>Thickening - WAS - other</t>
  </si>
  <si>
    <t>Thickening - combined primary &amp; WAS - no thickening of primary &amp; WAS combined</t>
  </si>
  <si>
    <t>Thickening - combined primary &amp; WAS - gravity thickener(s)</t>
  </si>
  <si>
    <t>Thickening - combined primary &amp; WAS - gravity belt thickener(s) (GBT)</t>
  </si>
  <si>
    <t>Thickening - combined primary &amp; WAS - centrifuge(s)</t>
  </si>
  <si>
    <t>Thickening - combined primary &amp; WAS - belt filter press(es)</t>
  </si>
  <si>
    <t>Thickening - combined primary &amp; WAS - vaccuum filter(s)</t>
  </si>
  <si>
    <t>Thickening - combined primary &amp; WAS - other</t>
  </si>
  <si>
    <t>On-Site Owner or Operator (WWTP / municipality staff)</t>
  </si>
  <si>
    <t>Off-Site Third-Party Handler or Applier (that person does not further treat the solids)</t>
  </si>
  <si>
    <t>Off-Site Third-Party Preparer (that person further treats the solids)</t>
  </si>
  <si>
    <t>Bulk</t>
  </si>
  <si>
    <t>Bags/containers</t>
  </si>
  <si>
    <t>Class A EQ</t>
  </si>
  <si>
    <t>Class A (not EQ)</t>
  </si>
  <si>
    <t>Class B</t>
  </si>
  <si>
    <t>Not applicable / not treated for pathogens</t>
  </si>
  <si>
    <t>VR1 - Volatile Solids Reduction</t>
  </si>
  <si>
    <t>VR2 - Bench-Scale Volatile Solids Reduction (Anaerobic Bench Test)</t>
  </si>
  <si>
    <t>VR3 - Bench-Scale Volatile Solids Reduction (Aerobic Bench Test w/ Percent Solids - 2% or Less)</t>
  </si>
  <si>
    <t>VR4 - Specific Oxygen Uptake Rate</t>
  </si>
  <si>
    <t>VR5 - Aerobic Processing (Thermophilic Aerobic Digestion/Composting)</t>
  </si>
  <si>
    <t>VR6 - Alkaline Treatment</t>
  </si>
  <si>
    <t>VR7 - Drying (Equal to or Greater than 75 Percent)</t>
  </si>
  <si>
    <t>VR8 - Drying (Equal to or Greater than 90 Percent)</t>
  </si>
  <si>
    <t>VR9 - Sewage Sludge Injection</t>
  </si>
  <si>
    <t>V10 - Sewage Sludge Timely Incorporation into Land</t>
  </si>
  <si>
    <t>V11 - Sewage Sludge Covered at the End of Each Operating Day</t>
  </si>
  <si>
    <t>belt filter press</t>
  </si>
  <si>
    <t>plate and frame press</t>
  </si>
  <si>
    <t>screw press</t>
  </si>
  <si>
    <t>centrifuge</t>
  </si>
  <si>
    <t>vacuum filter</t>
  </si>
  <si>
    <t>drying beds</t>
  </si>
  <si>
    <t>gravity belt thickener</t>
  </si>
  <si>
    <t>gravity thickener tanks</t>
  </si>
  <si>
    <t>dissolved air flotation (DAF) units</t>
  </si>
  <si>
    <t>none or N/A</t>
  </si>
  <si>
    <t>Other dewatering/thickening (please specify)</t>
  </si>
  <si>
    <t>Class A sites - home &amp; city parks, yards, gardens, landscaping, sports fields</t>
  </si>
  <si>
    <t>Agricultural sites (farms, Class A or B)</t>
  </si>
  <si>
    <t>Land reclamation sites (Class A or B)</t>
  </si>
  <si>
    <t>Incinerator(s)</t>
  </si>
  <si>
    <t>Landfill(s)</t>
  </si>
  <si>
    <t>Off-site preparer(s) (composter, other further processing for land application)</t>
  </si>
  <si>
    <t>Other (please describe)</t>
  </si>
  <si>
    <t>Thickening</t>
  </si>
  <si>
    <t>Pathogen reduction</t>
  </si>
  <si>
    <t>Stabilization (VAR)</t>
  </si>
  <si>
    <t>Dewatering</t>
  </si>
  <si>
    <t>Transportation</t>
  </si>
  <si>
    <t>A change in who manages end use or disposal (i. e. by a contractor or by WWTP staff)</t>
  </si>
  <si>
    <t>How sludge/biosolids are used or disposed (e.g. shift from land application to incineration or landfilling or vice versa)</t>
  </si>
  <si>
    <t>Septage receiving (will you take in more or less?)</t>
  </si>
  <si>
    <t>Outside/trucked-in waste receiving (will you take in more or less?)</t>
  </si>
  <si>
    <t>Other (please explain)</t>
  </si>
  <si>
    <t>If not, why not?</t>
  </si>
  <si>
    <t>Extremely important</t>
  </si>
  <si>
    <t>Very important</t>
  </si>
  <si>
    <t>Somewhat important</t>
  </si>
  <si>
    <t>Not so important</t>
  </si>
  <si>
    <t>Not at all important</t>
  </si>
  <si>
    <t>Please explain:</t>
  </si>
  <si>
    <t>Very likely</t>
  </si>
  <si>
    <t>Likely</t>
  </si>
  <si>
    <t>Neither likely nor unlikely</t>
  </si>
  <si>
    <t>Unlikely</t>
  </si>
  <si>
    <t>Very unlikely</t>
  </si>
  <si>
    <t>Please email me a copy of the report when it is done. I have provided my address below.</t>
  </si>
  <si>
    <t>Your Name</t>
  </si>
  <si>
    <t>Email</t>
  </si>
  <si>
    <t>Phone number</t>
  </si>
  <si>
    <t>Brockton AWRF</t>
  </si>
  <si>
    <t>MLE, soon to be 4 Stage Bardenpho post upgrades</t>
  </si>
  <si>
    <t xml:space="preserve">Some Bio P Removal followed by Fe addition for chemical precipitation </t>
  </si>
  <si>
    <t>gravity thickener(s)</t>
  </si>
  <si>
    <t>gravity belt thickener(s) (GBT)</t>
  </si>
  <si>
    <t>centrifuge(s)</t>
  </si>
  <si>
    <t>MLE</t>
  </si>
  <si>
    <t>We partake in pretreatment activities and issue pretreatment permits but do not have a State mandated pretreatment program.  Industry is light on Cape Cod</t>
  </si>
  <si>
    <t>May add dewatering to become more versitile and possibly increase disposal options</t>
  </si>
  <si>
    <t>Hopefully a shorter commute to an end facility.</t>
  </si>
  <si>
    <t>Less as our sewage system expands</t>
  </si>
  <si>
    <t>Amesbury WWTP</t>
  </si>
  <si>
    <t>alum percipitation</t>
  </si>
  <si>
    <t>no thickening of primary by itself</t>
  </si>
  <si>
    <t>no thickening of primary &amp; WAS combined</t>
  </si>
  <si>
    <t>decanting</t>
  </si>
  <si>
    <t>1.1 cent per gallon</t>
  </si>
  <si>
    <t>pretty sure it will stay the same</t>
  </si>
  <si>
    <t>don't think our plant generates enough</t>
  </si>
  <si>
    <t>Somerset WPCF</t>
  </si>
  <si>
    <t>belt filter press(es)</t>
  </si>
  <si>
    <t>replacement of gravity thickeners</t>
  </si>
  <si>
    <t>Replacement of belt presses</t>
  </si>
  <si>
    <t>Advanced Treatment MBR Facility</t>
  </si>
  <si>
    <t xml:space="preserve">programs in development </t>
  </si>
  <si>
    <t>all sludge goes into digester for composting</t>
  </si>
  <si>
    <t>Modified Ludzak Ettinger (as part of membrane)</t>
  </si>
  <si>
    <t>Chemical addition with membrane filtration</t>
  </si>
  <si>
    <t>Disposal at other licensed wastewater treatment facilities</t>
  </si>
  <si>
    <t>no thickening of WAS by itself</t>
  </si>
  <si>
    <t>Varies based upon receiver</t>
  </si>
  <si>
    <t>improved systems</t>
  </si>
  <si>
    <t>Stakeholder negativity</t>
  </si>
  <si>
    <t>Fitchburg WWTF</t>
  </si>
  <si>
    <t>Enhanced Primary treatment, multi-point chemical addition. Enhanced biological phosphorus removal utilizing anaerobic selector zones</t>
  </si>
  <si>
    <t>We have a full time City of Fitchburg Senior Sanitary Engineering Aide that works with an IPP Program Administration Support Service contractor.</t>
  </si>
  <si>
    <t>other</t>
  </si>
  <si>
    <t>Fournier Press</t>
  </si>
  <si>
    <t>The City of Fitchburg has an agreement with the landfill, we receive and treat their leachate and they take our sludge cake.</t>
  </si>
  <si>
    <t>Landfill is expected to reach it's life expectancy within 10 years</t>
  </si>
  <si>
    <t>The City has researched Anerobic Digestion use at the old wastewater West Plant (decommissioned).</t>
  </si>
  <si>
    <t>Great Barrington WWTP</t>
  </si>
  <si>
    <t>Ferric chloride addition to bioreactor</t>
  </si>
  <si>
    <t>Different sludge hauling contractor</t>
  </si>
  <si>
    <t>Revenue generator</t>
  </si>
  <si>
    <t>Concerns about nutrient loads and nutrient removal</t>
  </si>
  <si>
    <t>We have a four year old "state of the art" sludge dewatering system</t>
  </si>
  <si>
    <t>Northfield Waste Water Facility</t>
  </si>
  <si>
    <t>Our sludge gets sent to lowell or cranston for incineration, current company charges extra for thicker solids, forced to keep solids low</t>
  </si>
  <si>
    <t>sludge storage tank used to settle and decant sludge</t>
  </si>
  <si>
    <t>only sent out 2 loads, sending more out this year than last (approx 10 loads=$10,000)</t>
  </si>
  <si>
    <t>x</t>
  </si>
  <si>
    <t>from incineration to biosolids land application</t>
  </si>
  <si>
    <t>start to take in septage</t>
  </si>
  <si>
    <t>none</t>
  </si>
  <si>
    <t>something regional would be a great idea, something more environmentally friendly instead of incineration</t>
  </si>
  <si>
    <t>Extented Aeration w/ 1 anoxic zone</t>
  </si>
  <si>
    <t>Chemical Addition (PAC)</t>
  </si>
  <si>
    <t>Coagulation and decanting</t>
  </si>
  <si>
    <t>Acton WWTF</t>
  </si>
  <si>
    <t xml:space="preserve">Sequencing batch reactors </t>
  </si>
  <si>
    <t>Sequencing batch reactor bio-P removal plus alum</t>
  </si>
  <si>
    <t>NA</t>
  </si>
  <si>
    <t>Disposal was at another facility's anaerobic digestor.</t>
  </si>
  <si>
    <t>All to an offsite anaerobic digestor facility.</t>
  </si>
  <si>
    <t xml:space="preserve">newer higher throughput equipment. </t>
  </si>
  <si>
    <t>Gloucester MA WPCF</t>
  </si>
  <si>
    <t>We are a Primary Plant</t>
  </si>
  <si>
    <t>Biological nitrification</t>
  </si>
  <si>
    <t>Disk Filtration</t>
  </si>
  <si>
    <t>This is the first year of running a phosphorus reduction facility, using ferric chloride and polymer with disk filtration.</t>
  </si>
  <si>
    <t>phosphorus reduction</t>
  </si>
  <si>
    <t>Gravity thickeners dewater coblended sludge that is fed to digester. Digested sludge is dewatered using belt filter press.</t>
  </si>
  <si>
    <t>overhaul of belt filter presses and possibly capping landfill</t>
  </si>
  <si>
    <t xml:space="preserve">MWRA is an indipendent quasi public agency. Any decision to participate would be done at a level much higher than myself. </t>
  </si>
  <si>
    <t>MWRA is an indipendent quasi public agency. Any decision to participate would be done at a level much higher than myself.</t>
  </si>
  <si>
    <t>Clinton AWWTP is owned and operated by Massachusetts Water Resources Authority.</t>
  </si>
  <si>
    <t>Ipswich WWTP</t>
  </si>
  <si>
    <t>All biosolids are hauled to Town of Ipswich Compost Facility, operated by Agresource Inc.</t>
  </si>
  <si>
    <t>In-house staff trucks to town-owned compost facility.  Contract with compost operator developed such that WWTP pays no fees for sludge disposal at site.</t>
  </si>
  <si>
    <t>Town owned facility is most cost effective for us</t>
  </si>
  <si>
    <t>Our existing site is too small to be expanded into a regional facility.</t>
  </si>
  <si>
    <t>North Attleboro WWTF</t>
  </si>
  <si>
    <t>We have the capability to do 5 Stage Bardenpho, we currently use A2O</t>
  </si>
  <si>
    <t>(EBPR) We enhance Phosphorus release in an anaerobic selector, and uptake in the aerobic zone, then remove with the wasted sludge</t>
  </si>
  <si>
    <t>Only domestic septage from the two towns served, North Attleboro and Plainville</t>
  </si>
  <si>
    <t>Rotary Drum Thickener</t>
  </si>
  <si>
    <t>As of 7/1/19 Valerie Flaherty will be the Chief Plant Operator, her contact info is listed  above.</t>
  </si>
  <si>
    <t>four-stage Bardenpho process</t>
  </si>
  <si>
    <t>Chemical Precipitation (Ferric Chloride)</t>
  </si>
  <si>
    <t>contractual price: $312 per dry ton &amp; load charge of $245.59</t>
  </si>
  <si>
    <t>Bid options available for next ten years per current contract with Synagro Technologies. The District will most likely use these options unless an alternative becomes available.</t>
  </si>
  <si>
    <t>Marion WWTP</t>
  </si>
  <si>
    <t>2-tank SBR system (essentially activated sludge)</t>
  </si>
  <si>
    <t>#3. 12 month rolling average - varies due to I&amp;I.  #5. more or less an avg. pop due to a prep school and summer homes.</t>
  </si>
  <si>
    <t xml:space="preserve">#12. The WAS is pumped to facultative lagoons where it continues to break down.  Our annual concentration = &lt;1%. The solids don't actually leave the plant as the lagoons are an integral feature of the plant.  </t>
  </si>
  <si>
    <t>biological breakdown in lagoons</t>
  </si>
  <si>
    <t>#27. The WAS sent to the lagoons is effectively covered in water.</t>
  </si>
  <si>
    <t>Incorporated into the lagoons for continued biological breakdown</t>
  </si>
  <si>
    <t>Our only cost is for running the WAS pumps during wasting.  This is not measured out separately in the plant electric bill.</t>
  </si>
  <si>
    <t>Changes in lagoon design may lead to periodic removal of biosolids in the near and remote future.</t>
  </si>
  <si>
    <t>Possibly contract pumping to another processing facility.</t>
  </si>
  <si>
    <t>See above.</t>
  </si>
  <si>
    <t>Due in large part to our new NPDES permit (and probably the one to follow), many operational changes, including solids handling, will be occurring.  While I can't predict all the results in 10 years,at the least, they will (in my opinion) depend heavily on the affordable availability of regional biosolids processing and handling facilities.  The biosolids will probably be transported elsewhere, and possibly thickened before hand to reduce shipping costs.  Then again, it may be possible that end users will be paying Marion (remember cooking oil?) for their Grade A biosolids.</t>
  </si>
  <si>
    <t>I am prohibitively busy with the present and pending operational conditions at my facility.</t>
  </si>
  <si>
    <t>Tighter requirements from higher regulatory agencies; reduced costs (hopefully) from more accessibilty and competition; job opportunities, et al.</t>
  </si>
  <si>
    <t>I don't picture this community being receptive to the idea within its borders.</t>
  </si>
  <si>
    <t>It will have to go somewhere eventually.  And with growth, will come more treatment and generated solids.</t>
  </si>
  <si>
    <t>Haverhill WWTP</t>
  </si>
  <si>
    <t>Activated Sludge</t>
  </si>
  <si>
    <t>Sludge cost for FY20-22 has jumped to $120 per wet ton!!!!!</t>
  </si>
  <si>
    <t>With the increase in cost, we will take a look at other options for disposal in the near future</t>
  </si>
  <si>
    <t>Amherst WWTP</t>
  </si>
  <si>
    <t>Biological nutrient reduction</t>
  </si>
  <si>
    <t>estimate only, billing is taken care of at Public Works</t>
  </si>
  <si>
    <t>bigger GBT</t>
  </si>
  <si>
    <t>Plymouth WWTP</t>
  </si>
  <si>
    <t>Sludge sent to Cranston RI facility</t>
  </si>
  <si>
    <t>319.19/ dry ton</t>
  </si>
  <si>
    <t>Otis WWTP</t>
  </si>
  <si>
    <t>BioClere Trickling Filters</t>
  </si>
  <si>
    <t>Sludge is accumulated in a primary settling tank, pumped out annually, and treated at a neighboring municipal facility.  Solids content of the primary water is unknown/not tested.</t>
  </si>
  <si>
    <t>solids accumulated in primary tank via gravity settling throughout a 12 month period prior to removal to an off-site neighboring municipal facility.</t>
  </si>
  <si>
    <t>No dewatering/sludge treatment used at this facility</t>
  </si>
  <si>
    <t>Fees paid to local septic company to pump out and transport to off-site neighboring facility</t>
  </si>
  <si>
    <t>Limited staffing, lack of application to our facility</t>
  </si>
  <si>
    <t>Our solids need to be treated/managed at a facility that can process</t>
  </si>
  <si>
    <t>Bridgewater WWTP</t>
  </si>
  <si>
    <t>NH3 removal</t>
  </si>
  <si>
    <t>With FeCl3</t>
  </si>
  <si>
    <t>Type 1 biosolids</t>
  </si>
  <si>
    <t>off site disposal</t>
  </si>
  <si>
    <t>Nitrification only (extended air process)</t>
  </si>
  <si>
    <t>chemical (Poly Aluminum Chloride)</t>
  </si>
  <si>
    <t>only Berkshire county</t>
  </si>
  <si>
    <t>gbt to drum thickener</t>
  </si>
  <si>
    <t>same</t>
  </si>
  <si>
    <t>fbp to rotary press</t>
  </si>
  <si>
    <t>contractor</t>
  </si>
  <si>
    <t>incineration/landfill</t>
  </si>
  <si>
    <t>more</t>
  </si>
  <si>
    <t>New Bedford WWTF</t>
  </si>
  <si>
    <t>Hadley WWTP</t>
  </si>
  <si>
    <t>Liquid sludge trucked out, we are not the end disposal.</t>
  </si>
  <si>
    <t>Sludge tank decanted and shipped out.</t>
  </si>
  <si>
    <t>Decanted and shipped out liquid</t>
  </si>
  <si>
    <t>Shipped to Lowell Ma.  They dispose of all waste.</t>
  </si>
  <si>
    <t>Disposed of off site Lowell Ma.</t>
  </si>
  <si>
    <t>Disposal site could change.</t>
  </si>
  <si>
    <t>Warren WWTP</t>
  </si>
  <si>
    <t>belt thickeners</t>
  </si>
  <si>
    <t>Sludge production will increase due to adding chemicals to remove phosphorus and copper in the near future.</t>
  </si>
  <si>
    <t>very small facility</t>
  </si>
  <si>
    <t xml:space="preserve">Our current disposal facility appears to be having problems handling the amount of sludge they currently accept. </t>
  </si>
  <si>
    <t>Wareham WWTP</t>
  </si>
  <si>
    <t>MLE process</t>
  </si>
  <si>
    <t xml:space="preserve">PAC </t>
  </si>
  <si>
    <t>grease</t>
  </si>
  <si>
    <t>press</t>
  </si>
  <si>
    <t>we plan to explore dewatering because incineration is limited and has prices increasing</t>
  </si>
  <si>
    <t>Aeration and Mixing</t>
  </si>
  <si>
    <t>$286 dry ton</t>
  </si>
  <si>
    <t>No changes expected.</t>
  </si>
  <si>
    <t>Things are working great just as they are.</t>
  </si>
  <si>
    <t>Lynn Regional Wastewater Treatment Plant</t>
  </si>
  <si>
    <t>less than 100000 gallons / year</t>
  </si>
  <si>
    <t>Incineration</t>
  </si>
  <si>
    <t>Incinerator ash will need to be transported to offsite landfill</t>
  </si>
  <si>
    <t>Neutral</t>
  </si>
  <si>
    <t>Taunton WWTP</t>
  </si>
  <si>
    <t>nitrification only</t>
  </si>
  <si>
    <t>Landfill closing in 2020.  Could be trucking liquid sludge out.</t>
  </si>
  <si>
    <t>SBR</t>
  </si>
  <si>
    <t>SBR with chemical addition</t>
  </si>
  <si>
    <t>Wastewater Services Inc transports  4% sludge to regional treatment plants for disposal / Incineration</t>
  </si>
  <si>
    <t>10-15 k per day</t>
  </si>
  <si>
    <t>Rotating drum thickener</t>
  </si>
  <si>
    <t>Cranston RI ( Veolia) &amp; (Naugatuck) treatment plant.</t>
  </si>
  <si>
    <t>We expect cost to rise 30% based on recent sludge hauling contract .</t>
  </si>
  <si>
    <t>Depends on the market</t>
  </si>
  <si>
    <t>Depends on technology</t>
  </si>
  <si>
    <t>Unknown at this time. We will continue to look at options to reduce cost in the future.</t>
  </si>
  <si>
    <t xml:space="preserve">We just signed a two year sludge hauling contract. </t>
  </si>
  <si>
    <t>Always looking at better cost efective sludge hauling.</t>
  </si>
  <si>
    <t>Do not have the capacity.</t>
  </si>
  <si>
    <t>$$$</t>
  </si>
  <si>
    <t>Hatfield WWTP</t>
  </si>
  <si>
    <t>Gravity Thickener being installed</t>
  </si>
  <si>
    <t>Huntington Sewer</t>
  </si>
  <si>
    <t>Aerators run on timers</t>
  </si>
  <si>
    <t>Sludge is trucked to Westfield Wastewater Treatment Facility for dewatering and disposal.</t>
  </si>
  <si>
    <t xml:space="preserve">Thicken sludge by decanting </t>
  </si>
  <si>
    <t>Hopedale WWTP</t>
  </si>
  <si>
    <t>has nitrification only</t>
  </si>
  <si>
    <t>chemical precipitation with Polyaluminum Chloride</t>
  </si>
  <si>
    <t>Edgartown WWTF</t>
  </si>
  <si>
    <t>anoxic/aerobic tanks</t>
  </si>
  <si>
    <t>Transported to Synagro NE</t>
  </si>
  <si>
    <t>contract is bid every 3 years</t>
  </si>
  <si>
    <t>Kingston WWTP</t>
  </si>
  <si>
    <t>X</t>
  </si>
  <si>
    <t>71,256.20/Dry Ton</t>
  </si>
  <si>
    <t>additional equipment</t>
  </si>
  <si>
    <t xml:space="preserve">low bidder to contract </t>
  </si>
  <si>
    <t>Rhode Island and Ct.</t>
  </si>
  <si>
    <t>New Hampshire</t>
  </si>
  <si>
    <t>$1200 dry ton</t>
  </si>
  <si>
    <t>gravity belt addition</t>
  </si>
  <si>
    <t>Not my decision</t>
  </si>
  <si>
    <t>Charlton WWTF</t>
  </si>
  <si>
    <t>Comag tertiary treatment</t>
  </si>
  <si>
    <t>Sludge holding tank that we decant</t>
  </si>
  <si>
    <t>That would be up to Veolia</t>
  </si>
  <si>
    <t>Our facility is too small to support something like that</t>
  </si>
  <si>
    <t>All depends on Veolia's decision</t>
  </si>
  <si>
    <t>Barre WWTP</t>
  </si>
  <si>
    <t>Chemical - PAC</t>
  </si>
  <si>
    <t>South Essex Sewerage District</t>
  </si>
  <si>
    <t>sewer cleanings material</t>
  </si>
  <si>
    <t>Vactor trucks from sewer cleanings unload into a pit, dewater by gravity and the remaining solids are mixed with grit</t>
  </si>
  <si>
    <t>will be doing some composting in the future</t>
  </si>
  <si>
    <t>less - has been going down for years</t>
  </si>
  <si>
    <t>Anything to control pricing and ease of disposal</t>
  </si>
  <si>
    <t>We contract for hauling sludge and they decide where ultimate disposal is as long as it is a approved site</t>
  </si>
  <si>
    <t>Charles River Pollution Control District</t>
  </si>
  <si>
    <t>Nitrification in Activated Sludge Treatment</t>
  </si>
  <si>
    <t>Bio-P Removal in Anaerobic Selector and Ferric Chloride Addition Prior to Secondary Clarifies, followed by 5 micron cloth filters</t>
  </si>
  <si>
    <t>Erving Center Wastewater Treatment Plant</t>
  </si>
  <si>
    <t>soft drink bottling wastewater</t>
  </si>
  <si>
    <t>Holyoke WPCF</t>
  </si>
  <si>
    <t>Rotary Drum and Rotary Press</t>
  </si>
  <si>
    <t>Possible</t>
  </si>
  <si>
    <t>N/A</t>
  </si>
  <si>
    <t>Sludge Disposal Contract on 5 year bidding cycle</t>
  </si>
  <si>
    <t>Would entertain proposals for small scale region facility</t>
  </si>
  <si>
    <t>Would be interested in participating if price is right</t>
  </si>
  <si>
    <t>Marlborough Easterly WWTP</t>
  </si>
  <si>
    <t>Nitrification only</t>
  </si>
  <si>
    <t>Bio-Mag</t>
  </si>
  <si>
    <t>462 Metric Tons were disposed of at the We Care Environmental facility, of that I`m not sure of how much was used for for compost. 77 tons is an estimate.</t>
  </si>
  <si>
    <t>Contractor currently exploring other uses</t>
  </si>
  <si>
    <t>Less</t>
  </si>
  <si>
    <t>Adjacent residential areas-odors.</t>
  </si>
  <si>
    <t>Hull, MA WPCF</t>
  </si>
  <si>
    <t>Hull sludge is thickened and trucked to Cranston, RI for further processing and eventually incinerated there.</t>
  </si>
  <si>
    <t>Seasonal use of rotary sludge thickener for thickening of WAS</t>
  </si>
  <si>
    <t>rotary sludge thickening</t>
  </si>
  <si>
    <t>100%</t>
  </si>
  <si>
    <t>Not available at this time</t>
  </si>
  <si>
    <t>unchanged, GT and RST use</t>
  </si>
  <si>
    <t>if this is a cost-effective option, it could be considered.</t>
  </si>
  <si>
    <t>This would give added disposal option if current 3rd party site is unavailable</t>
  </si>
  <si>
    <t>Sunderland WWTP</t>
  </si>
  <si>
    <t>aerators are on timers with on/off cycles</t>
  </si>
  <si>
    <t>Chemical Addition</t>
  </si>
  <si>
    <t>Veolia Water, Cranston RI.</t>
  </si>
  <si>
    <t>Webster- Dudley WWTF</t>
  </si>
  <si>
    <t>Actiflo</t>
  </si>
  <si>
    <t>We have a fair and equitable contract with Synagro</t>
  </si>
  <si>
    <t>Brought to Westfield WWTF</t>
  </si>
  <si>
    <t>$3035.00 to westfield WWTF for further processing</t>
  </si>
  <si>
    <t>no change</t>
  </si>
  <si>
    <t>MLE or Bardenpho</t>
  </si>
  <si>
    <t>Chemical &amp; Disk Filters</t>
  </si>
  <si>
    <t>yes</t>
  </si>
  <si>
    <t>In Town Grease Traps &amp; Tight Tanks</t>
  </si>
  <si>
    <t xml:space="preserve">See Above  </t>
  </si>
  <si>
    <t>$325 Dry Ton hauled as liquid</t>
  </si>
  <si>
    <t>Additional Gravity Thickener</t>
  </si>
  <si>
    <t>Contracted by competetive bid</t>
  </si>
  <si>
    <t>Logistics</t>
  </si>
  <si>
    <t>We are fortunate to be close to multiple incenerators</t>
  </si>
  <si>
    <t>Local opposition</t>
  </si>
  <si>
    <t>currently doing this</t>
  </si>
  <si>
    <t>Oxford-Rochdale Sewer District</t>
  </si>
  <si>
    <t xml:space="preserve">All liquid sludge waste is hauled and disposed of by Synagro Northeast, LLC to the Woonsocket RI facility for processing. Monthly billing reports amount of dry tons generated.  </t>
  </si>
  <si>
    <t xml:space="preserve">Was sludge to holding tanks. Decant clear water back to system then pump thicken sludge to another holding tank for disposal by Synagro Northeast. </t>
  </si>
  <si>
    <t xml:space="preserve">We have used Synagro </t>
  </si>
  <si>
    <t>Marshfield wastewater facility</t>
  </si>
  <si>
    <t>Leominster WPCF</t>
  </si>
  <si>
    <t>RDT's</t>
  </si>
  <si>
    <t>Need options to control costs.</t>
  </si>
  <si>
    <t>NIMBY</t>
  </si>
  <si>
    <t>Cost driven.</t>
  </si>
  <si>
    <t>Spencer Sewer Department</t>
  </si>
  <si>
    <t>Extended Aeration w/ On/Off Aeration</t>
  </si>
  <si>
    <t>Chemical Coagulant ( Alum ) Artificial Wetland beds</t>
  </si>
  <si>
    <t>a couple of brewery's</t>
  </si>
  <si>
    <t>new process</t>
  </si>
  <si>
    <t>less</t>
  </si>
  <si>
    <t>Gravity Drum thickener</t>
  </si>
  <si>
    <t>Transportation at $416.00/8500 gal.  Disposal fee at @ $590.00/ 8500 gal  32 loads last calendar year</t>
  </si>
  <si>
    <t>Possible upgrade in equipment</t>
  </si>
  <si>
    <t>Hopeful that equipment upgrades will enable us to increase the % solids we have to truck out of the plant to help offset the expected increases in trucking and disposal fees.</t>
  </si>
  <si>
    <t>Would like to have as many avenues open as possible in case of loss of existing disposal options.</t>
  </si>
  <si>
    <t>We are located on the harbor of a very small and "exclusive" community. The "NIMBY" factor would be impossible to overcome.</t>
  </si>
  <si>
    <t>The cost factor would be the main consideration.</t>
  </si>
  <si>
    <t>South Hadley Div. of Water Pollution Control</t>
  </si>
  <si>
    <t xml:space="preserve">couple campers, 0-2 haulers/year </t>
  </si>
  <si>
    <t>Hauling &amp; disposal</t>
  </si>
  <si>
    <t>Falmouth Wastewater Facility</t>
  </si>
  <si>
    <t>Question 5 is the percentage of town sewered. There is a very seasonal population during the summer on Cape Cod.</t>
  </si>
  <si>
    <t>Hoosac Water Quality District</t>
  </si>
  <si>
    <t>Chemical addition of Alum on the effluent side of Aeration</t>
  </si>
  <si>
    <t>possible with renewed NPDES</t>
  </si>
  <si>
    <t>Possible with renewed NPDES</t>
  </si>
  <si>
    <t>Depends on MA DEP Approval of Suitability</t>
  </si>
  <si>
    <t>Preparing equipment to take Biosolids from other facilities</t>
  </si>
  <si>
    <t xml:space="preserve">Not at this time, but would like to see any data or literature for such facility. </t>
  </si>
  <si>
    <t>Chemical addition - Sodium Aluminate</t>
  </si>
  <si>
    <t>New Thickener</t>
  </si>
  <si>
    <t>New sludge disposal contract every 3 years</t>
  </si>
  <si>
    <t>Concord Ma WWTF</t>
  </si>
  <si>
    <t>trickling filters for nitrification</t>
  </si>
  <si>
    <t>CoMag process</t>
  </si>
  <si>
    <t>rotary drum thickener</t>
  </si>
  <si>
    <t>possible upgrade to filter press</t>
  </si>
  <si>
    <t>North Brookfield WWTP</t>
  </si>
  <si>
    <t>Only for Nitrification, standard aeration tanks fine bubble diffusers.</t>
  </si>
  <si>
    <t>Sodium Aluminate addition</t>
  </si>
  <si>
    <t xml:space="preserve">No primaries, only WAS. </t>
  </si>
  <si>
    <t>potential equipment changes with upgrades</t>
  </si>
  <si>
    <t>Only if contractor changes</t>
  </si>
  <si>
    <t>Aiming to increase intake</t>
  </si>
  <si>
    <t xml:space="preserve">depending on future changes with costs. </t>
  </si>
  <si>
    <t xml:space="preserve">Most likely to the unlikely side due to space restrictions </t>
  </si>
  <si>
    <t>depends on costs entirely.</t>
  </si>
  <si>
    <t>Billerica Water Resource Recovery Facility</t>
  </si>
  <si>
    <t>we are an activated sludge plant with CoMag for Tertiary Treatment.</t>
  </si>
  <si>
    <t>CoMag</t>
  </si>
  <si>
    <t>875 was sent to a digester</t>
  </si>
  <si>
    <t>Rotary Press</t>
  </si>
  <si>
    <t>As costs rise, we need to find a solution to handling our biosolids. Right now there are few options and we pay more because there is no competiton in this field.</t>
  </si>
  <si>
    <t>I have no space for a facility.</t>
  </si>
  <si>
    <t>I already send them 200 miles away, anything closer will be cheaper.</t>
  </si>
  <si>
    <t>semi-anoxic zone to help reduce nitrogen</t>
  </si>
  <si>
    <t>10 industries - 6 with reporting requirement permits, 4 with permits but no appreciable discharge so they are non-reporting.</t>
  </si>
  <si>
    <t>landfill leachate via forcemain</t>
  </si>
  <si>
    <t>546,000 gallons of Leachate pumped by forcemain to WWTP through the collection system.</t>
  </si>
  <si>
    <t>more efficient dewatering</t>
  </si>
  <si>
    <t>Just the transportation saving and reduction in fuel costs will benefit the region.</t>
  </si>
  <si>
    <t>This would have to be discussed with the community to see how receptive they are to such a facility.</t>
  </si>
  <si>
    <t>I am not sure we would have enough backing to site a facility here.</t>
  </si>
  <si>
    <t>Southbridge Wastewater Treatment Plant</t>
  </si>
  <si>
    <t>Only have nitrification process</t>
  </si>
  <si>
    <t>Ferric Chloride and polymer addition</t>
  </si>
  <si>
    <t>Required in NPDES permit</t>
  </si>
  <si>
    <t xml:space="preserve">All bio solids are processes via Centrifuges and composted on site. Finished compost is marketed by outside vendor for beneficial use. DEP permitted, Type I status. </t>
  </si>
  <si>
    <t>Agresource markets compost for various beneficial uses</t>
  </si>
  <si>
    <t>Composted on site</t>
  </si>
  <si>
    <t>Composted on site. Third party vendor markets compost with 50/50 revenue split</t>
  </si>
  <si>
    <t>Not sure if compsting on site will remain</t>
  </si>
  <si>
    <t>Town has O&amp;M under contract operations</t>
  </si>
  <si>
    <t>Unknown it has it's challenges</t>
  </si>
  <si>
    <t>Not sure, new centrifuges allow higher solids and potential for trucked in sludge to process</t>
  </si>
  <si>
    <t>Anticipated compost will remain unless odor issues or stricter regulations will not allow land application etc. PFAS is something new on the horizon.</t>
  </si>
  <si>
    <t>Additional trucked in sludge for processing from smaller plants in the area is being looked at. If compost remains and trucked in sludge happens the plant will be a regional processing facility</t>
  </si>
  <si>
    <t>Depends on direction Town takes with composting on site</t>
  </si>
  <si>
    <t>If composting on site stops, a close regional disposal site is very desireable.</t>
  </si>
  <si>
    <t>Thanks</t>
  </si>
  <si>
    <t>biological</t>
  </si>
  <si>
    <t>Rockland WWTF</t>
  </si>
  <si>
    <t>Nitrification Only.  4 stages: 1 anoxic zone and 3 arobic zones with mechanical mixers</t>
  </si>
  <si>
    <t>Chemical Only.  Ferric Chloride added before Primaries and after aeration</t>
  </si>
  <si>
    <t>IPP run by Town of Rockland.  No SIU's</t>
  </si>
  <si>
    <t>Separate WAS from primary and pre-thicken</t>
  </si>
  <si>
    <t>Potential to land application</t>
  </si>
  <si>
    <t>In 2018 Brown &amp; Caldwell completed a CHP feasibility study which was submitted to MA-CEC</t>
  </si>
  <si>
    <t>Palmer wastewater</t>
  </si>
  <si>
    <t>cycle blower on and off</t>
  </si>
  <si>
    <t>use chemicle epic58</t>
  </si>
  <si>
    <t>contactor</t>
  </si>
  <si>
    <t>Aluminum Sulfate</t>
  </si>
  <si>
    <t>peak design is 1.2 BGD</t>
  </si>
  <si>
    <t>new contract</t>
  </si>
  <si>
    <t>We expect bagged product to increase.</t>
  </si>
  <si>
    <t>no need</t>
  </si>
  <si>
    <t>Chicopee Water Pollution Control</t>
  </si>
  <si>
    <t xml:space="preserve">Greater Lawrence Sanitary District </t>
  </si>
  <si>
    <t>Easthampton Wastewater Treatment Plant</t>
  </si>
  <si>
    <t>cyclic aeration</t>
  </si>
  <si>
    <t xml:space="preserve">1 categorical industry, 1 significant user, landfill monitor discharge and problem restaurants with grease issues, 2 of them are issues permits  </t>
  </si>
  <si>
    <t>question 27, our sludge is incinerated, process at incinerator, not aware of</t>
  </si>
  <si>
    <t>the price from January to June was $99.51/wet ton, then from July to December it was $102.84/wet ton</t>
  </si>
  <si>
    <t>depends on cost</t>
  </si>
  <si>
    <t>Lowell Regional Wastewater Utility</t>
  </si>
  <si>
    <t>Cyclic aeration in cell three of all trains (Anoxic zone), upgrades coming during this Phase of work to improve the process</t>
  </si>
  <si>
    <t>Management of significant industrial users (SIUs) has been an important part of wastewater treatment plant operations since the 1980s, when new plants began experiencing process upsets due to industrial discharges. LRWWU has had an EPA-approved Industrial Pretreatment Program (IPP) since 1998.</t>
  </si>
  <si>
    <t>The other way is Village Green facility in Cumberland, ME which is an anaerobic digester.</t>
  </si>
  <si>
    <t>The process of accepting leachate and industrial waste does not directly go into the headworks. We store this liquid waste in our hauled waste tanks and then bleed it back to the headworks to prevent slug loading.</t>
  </si>
  <si>
    <t>RDTs</t>
  </si>
  <si>
    <t>Rate is constant no matter where the sludge ends up going. Rate is $82.8/wet ton</t>
  </si>
  <si>
    <t>We will be upgrading (hopefully) our centrifuge and will have 2 operational in the next 3-5 years and increase cake solids % which will hopefully reduce hauling costs</t>
  </si>
  <si>
    <t>We go out to bid for a new sludge hauling contract every 3 years</t>
  </si>
  <si>
    <t>We are hoping to take in less over the next few years or make more money. We will hopefully be increasing prices to reflect how hard it is to manage septage</t>
  </si>
  <si>
    <t xml:space="preserve">We will continue to take in our current waste on wheels and keep expanding as long as the wastes do not have a negative impact on the process or affect us meeting permit. </t>
  </si>
  <si>
    <t>We are limited by the area of our site and are limited with our options on sludge management. We always are monitoring new technologies to see if anything can help improve the situation</t>
  </si>
  <si>
    <t>no space</t>
  </si>
  <si>
    <t xml:space="preserve">If the price is right. </t>
  </si>
  <si>
    <t>Gilbertville WWTP</t>
  </si>
  <si>
    <t>Addition of Poly-Aluminum Chloride</t>
  </si>
  <si>
    <t>Leachate</t>
  </si>
  <si>
    <t>Switch from PAC to polymer</t>
  </si>
  <si>
    <t>We need some economical options for every small plant in western/central MA</t>
  </si>
  <si>
    <t>Highly doubt the Town would be receptive to it. WWTP is too small.</t>
  </si>
  <si>
    <t>Ammonia based aeration control</t>
  </si>
  <si>
    <t>chemical precipitation and biological</t>
  </si>
  <si>
    <t>Possible upgrade of equipment</t>
  </si>
  <si>
    <t>Take less due to sewer expansion in City</t>
  </si>
  <si>
    <t>Our facility is in a flood way and floodplain</t>
  </si>
  <si>
    <t>Save cost on hauling and incinerating</t>
  </si>
  <si>
    <t>Devens Wastewater Facility</t>
  </si>
  <si>
    <t>Biological and Chemical</t>
  </si>
  <si>
    <t>Biological</t>
  </si>
  <si>
    <t>no time</t>
  </si>
  <si>
    <t>South Deerfield WWTP</t>
  </si>
  <si>
    <t>No BNR, but we do nitrify to the point of non-detectable NO2/NO3/TKN/NH3, with only a trace of P left in our effluent.</t>
  </si>
  <si>
    <t>Again, nothing formal yet, such as BNR but we reduce our P down to approx 3.0 mg/L each month without it.</t>
  </si>
  <si>
    <t>Avg Flow for 2018 for SDWWTP was .506 MGD/Design Flow is .850 MGD  Pre-treatment for 1 or 2 small companies</t>
  </si>
  <si>
    <t xml:space="preserve">I am not certain what Lowell WWTP, our disposal site that our sludge is hauled to, does with our sludge once it is received. </t>
  </si>
  <si>
    <t>Polymer added to WAS enroute to the sludge tank where it rests for several days then the topwater is decanted and the hauler vac trucks it out 9000 gallons/load</t>
  </si>
  <si>
    <t>We have ZERO primary sludge and have no primary clarifiers onsite, the slider above was moved to 1 (when it should be zero) to allow me to continue. I have no idea what the real answer to question 27 is. I believe our sludge is ultimately incinerated, so I'm thinking my answer is still somewhat accurate.</t>
  </si>
  <si>
    <t>$78282.00</t>
  </si>
  <si>
    <t xml:space="preserve">Will be vastly improved once we add a rotary drum thickener.  </t>
  </si>
  <si>
    <t xml:space="preserve">Getting more expensive as the contracts are renewed. Haulers are becoming scarcer, and some, like Wall Trucking, know how to rig the system to get the contract each time: He low bids to get it, then makes up for it by giving less time than others and charging extra time for each pickup, as well as adding a fuel surcharge to each months invoice. </t>
  </si>
  <si>
    <t xml:space="preserve">I fully expect this to happen again. It has happened 3 or 4 times already in the last 12 years. </t>
  </si>
  <si>
    <t xml:space="preserve">We are keeping our fingers crossed that  Greenfield, MA builds their digester and will take our sludge in the future, rather than having it hauled long distances at great cost. </t>
  </si>
  <si>
    <t>We may or may not add this during our next upcoming upgrade (first one in 45 years!!)</t>
  </si>
  <si>
    <t>We will not be taking other peoples sludge now or in the next ten years.</t>
  </si>
  <si>
    <t>We are currently using Drylet LLC's "Aqua Assist" proprietary microbes which promise to reduce biosolids production by up to 50%. We've been using it for 1.5 years now, and have seen a 30% reduction. We will be continuing the use of this product, and will eventually be adding a rotary drum thickener.</t>
  </si>
  <si>
    <t>Massachusetts BADLY NEEDS two REGIONAL solids handling facilities run by the state or contracted out, but owned by the state. There needs to be one just outside the 495 corridor in the east, and another one in Franklin County for the western part of the state. They should be large, have twin incinerators, digesters, and indoor composting. The digester gas would offset energy use and also would provide surplus energy to be sold to the utilities. This would reduce overall costs to everyone. The hauling would be to and from smaller distances, they would incorporate all the types of sludge receiving needed, and would be self-sustaining from the energy production. It would be cleaner, more efficient, less polluting, and do less harm to the roads in our state. At the very least build one huge solids handling facility right in the middle of the state for everyone in our state to use. If capacity allowed for it, RI, CT, ME, VT, NH could use it, but for a pretty healthy surcharge as a deterrant.</t>
  </si>
  <si>
    <t xml:space="preserve">See my earlier answer to 37 under other comments. </t>
  </si>
  <si>
    <t>I contacted McGill in Virginia, a large, industrial scale composter, who used to make "Nutri-Green" for Hampton Roads Sanitation District about coming to Deerfield and building such a facility, but after much back and forth, they declined stating that we "didn't or wouldn't have enough 'feed stock' to support the size of facility they would want to build in order to make it worth their while."</t>
  </si>
  <si>
    <t>It depends on how far away it was. Too far, and I would do everything I could to have our sludge go somewhere more cost effective to take it. It's too much to haul now. It seems as if greed has taken over every industry.</t>
  </si>
  <si>
    <t>We have two WWTP's. The other one is much smaller than this small plant. The answers are the same other than that little plant adds another 22K per year to our total cost to get rid of our sludge. So, our true total for both plants is: $101,000.00/year</t>
  </si>
  <si>
    <t>Springfield Regional WWTP</t>
  </si>
  <si>
    <t>Ludzack-Ettinger Process</t>
  </si>
  <si>
    <t>IPP program run by the Springfield Water and Sewer Commission</t>
  </si>
  <si>
    <t>Possible pelletizer</t>
  </si>
  <si>
    <t>Possible land application or incineration</t>
  </si>
  <si>
    <t>Have recently done a digester study. Pelletization may or may not be done to the sludge after digestion and dewatering.</t>
  </si>
  <si>
    <t>Participation would depend on cost.</t>
  </si>
  <si>
    <t>Would be interested in merchant sludge revenue to defray costs.</t>
  </si>
  <si>
    <t>Would perfer to control our own destiny by hosting.</t>
  </si>
  <si>
    <t>If we were to build digestors we would add capacity to take in merchant sludge and food waste.</t>
  </si>
  <si>
    <t>1990 sewered population of MA (https://pubs.usgs.gov/wri/1995/4144/report.pdf)</t>
  </si>
  <si>
    <t>1990 total population of MA (https://www2.census.gov/library/publications/decennial/1990/cp-1/cp-1-23.pdf)</t>
  </si>
  <si>
    <t>of state had onsite systems in 1990</t>
  </si>
  <si>
    <t>Fall River</t>
  </si>
  <si>
    <t>Salisbury</t>
  </si>
  <si>
    <t>Barnstable, Town of  WPCF</t>
  </si>
  <si>
    <t>Stockbridge, Town of  wwtp</t>
  </si>
  <si>
    <r>
      <rPr>
        <sz val="11"/>
        <color theme="7"/>
        <rFont val="Calibri"/>
        <scheme val="minor"/>
      </rPr>
      <t>Nantucket</t>
    </r>
    <r>
      <rPr>
        <sz val="11"/>
        <color theme="1"/>
        <rFont val="Calibri"/>
        <family val="2"/>
        <scheme val="minor"/>
      </rPr>
      <t xml:space="preserve"> Surfside Wastewater Facility</t>
    </r>
  </si>
  <si>
    <t>Wayland, Town of Wastewater Treatment Plant</t>
  </si>
  <si>
    <t>Athol, Town of  Wastewater Treatment Plant</t>
  </si>
  <si>
    <t>Mansfield-Foxboro-Norton Regional Wastewater District</t>
  </si>
  <si>
    <t>Pittsfield, City of  WWTP</t>
  </si>
  <si>
    <t>Oak Bluffs, Town of  Wastewater Dept.</t>
  </si>
  <si>
    <t>Lee, Town of  WWTP</t>
  </si>
  <si>
    <r>
      <rPr>
        <sz val="11"/>
        <color theme="7"/>
        <rFont val="Calibri"/>
        <scheme val="minor"/>
      </rPr>
      <t>Fall River</t>
    </r>
    <r>
      <rPr>
        <sz val="11"/>
        <color theme="1"/>
        <rFont val="Calibri"/>
        <family val="2"/>
        <scheme val="minor"/>
      </rPr>
      <t xml:space="preserve"> Large WWTP</t>
    </r>
  </si>
  <si>
    <t>Medfield, Town of  WWTP</t>
  </si>
  <si>
    <t>Russell, Town of  WWTF</t>
  </si>
  <si>
    <t>Uxbridge , Town of WWTF</t>
  </si>
  <si>
    <t>Manchester by-the-Sea, Town of  MA Wastewater Treatment Plant</t>
  </si>
  <si>
    <t>Orange, Town of  Wastewater Treatment Facility</t>
  </si>
  <si>
    <t xml:space="preserve">Northbridge, Town of </t>
  </si>
  <si>
    <t>Westfield, City of  MA WPCP</t>
  </si>
  <si>
    <t>Acton Wastewater Collection</t>
  </si>
  <si>
    <t>Amesbury WWTP           </t>
  </si>
  <si>
    <t>Athol WWTP     </t>
  </si>
  <si>
    <t>Ayer WWTP       </t>
  </si>
  <si>
    <t>Barnstable WWTP  WPCD - DPW</t>
  </si>
  <si>
    <t>Barre WWTP     </t>
  </si>
  <si>
    <t>Billerica WWTP</t>
  </si>
  <si>
    <t>Bridgewater WWTP       </t>
  </si>
  <si>
    <t>Brockton WWTP              </t>
  </si>
  <si>
    <t>Charles River PCD           </t>
  </si>
  <si>
    <t>Charlton WWTP               </t>
  </si>
  <si>
    <t>Concord WWTF</t>
  </si>
  <si>
    <t>Easthampton WWTP     </t>
  </si>
  <si>
    <t>Edgartown WWTP          </t>
  </si>
  <si>
    <t>Erving Center WWTP     </t>
  </si>
  <si>
    <t>Fall River Regional WWF               </t>
  </si>
  <si>
    <t>Falmouth WWTP             </t>
  </si>
  <si>
    <t>Fitchburg East WWTP    </t>
  </si>
  <si>
    <t>Gloucester WPCF            </t>
  </si>
  <si>
    <t>Great Barrington WWTP              </t>
  </si>
  <si>
    <t>Greater Lawrence - Sanitary District       </t>
  </si>
  <si>
    <t>Hadley WWTP  </t>
  </si>
  <si>
    <t>Haverhill WWTP               </t>
  </si>
  <si>
    <t>Holyoke WWTP</t>
  </si>
  <si>
    <t>Hoosac WQD     </t>
  </si>
  <si>
    <t>Hopedale WWTF             </t>
  </si>
  <si>
    <t>Hull WWTP         </t>
  </si>
  <si>
    <t>Huntington WWTP         </t>
  </si>
  <si>
    <t>Ipswich WWTP </t>
  </si>
  <si>
    <t>Kingston Sewer Commission</t>
  </si>
  <si>
    <t>Lee WWTP         </t>
  </si>
  <si>
    <t>Lowell Regional WW Utility         </t>
  </si>
  <si>
    <t>Lynn Regional WF           </t>
  </si>
  <si>
    <t>Manchester By the Sea WWTP </t>
  </si>
  <si>
    <t>Mansfield WWTP            </t>
  </si>
  <si>
    <t>Marion WWTP   - Marion DPW   </t>
  </si>
  <si>
    <t>Marlborough East WWTP            </t>
  </si>
  <si>
    <t>Marlborough West WWTP          </t>
  </si>
  <si>
    <t>Marshfield WWTF           </t>
  </si>
  <si>
    <t>Medfield WWTP              </t>
  </si>
  <si>
    <t>Nantucket (Surfside?) Wastewater System</t>
  </si>
  <si>
    <t>New Bedford WWTP     </t>
  </si>
  <si>
    <t>Newburyport WWTP     </t>
  </si>
  <si>
    <t>North Attleborough WPCF          </t>
  </si>
  <si>
    <t>North Brookfield WWTP              </t>
  </si>
  <si>
    <t>Northampton WWTF     </t>
  </si>
  <si>
    <t>Northbridge WWTF        </t>
  </si>
  <si>
    <t>Northfield WPCF             </t>
  </si>
  <si>
    <t>Oak Bluffs WWTP            </t>
  </si>
  <si>
    <t>Orange WWTP </t>
  </si>
  <si>
    <t>Otis Dept. Public Works</t>
  </si>
  <si>
    <t>Palmer WWTF  </t>
  </si>
  <si>
    <t>Pepperell WWTF             </t>
  </si>
  <si>
    <t>Pittsfield WWTP              </t>
  </si>
  <si>
    <t>Plymouth WWTF             </t>
  </si>
  <si>
    <t>Oxford-Rochdale SD WPCP         </t>
  </si>
  <si>
    <t>Rockland WWTP              </t>
  </si>
  <si>
    <t>Salisbury WWTF               </t>
  </si>
  <si>
    <t>Somerset WWTF             </t>
  </si>
  <si>
    <t>South Essex Sewerage District  </t>
  </si>
  <si>
    <t>South Hadley WWTP     </t>
  </si>
  <si>
    <t>Southbridge WWTP       </t>
  </si>
  <si>
    <t>Spencer WWTP</t>
  </si>
  <si>
    <t>Springfield WWTP - Bondi’s Island            </t>
  </si>
  <si>
    <t>Stockbridge WWTP        </t>
  </si>
  <si>
    <t>Sunderland WWTP         </t>
  </si>
  <si>
    <t>Taunton WWTP               </t>
  </si>
  <si>
    <t>Uxbridge WWTF              </t>
  </si>
  <si>
    <t>Wareham WPCF              </t>
  </si>
  <si>
    <t>Warren WWTP </t>
  </si>
  <si>
    <t>Wayland/Sudbury Septage Treatment Facility  </t>
  </si>
  <si>
    <t>Webster WWTF</t>
  </si>
  <si>
    <t>Westfield WPCP              </t>
  </si>
  <si>
    <r>
      <rPr>
        <sz val="11"/>
        <color theme="1"/>
        <rFont val="Calibri"/>
        <family val="2"/>
        <scheme val="minor"/>
      </rPr>
      <t>Clinton AWWTP</t>
    </r>
  </si>
  <si>
    <t>Greenfield</t>
  </si>
  <si>
    <t>Marlborough Westerly WWTP</t>
  </si>
  <si>
    <t>Northampton, City of  WWTP</t>
  </si>
  <si>
    <t>Pepperell WWTF</t>
  </si>
  <si>
    <t>19 Merrimac St </t>
  </si>
  <si>
    <t>Amesbury</t>
  </si>
  <si>
    <t xml:space="preserve">MA </t>
  </si>
  <si>
    <t>01913    </t>
  </si>
  <si>
    <t>586 South Pleasant St. Amherst, MA 01002  (mail)            100 Mullins Way (plant)</t>
  </si>
  <si>
    <t>Hadley</t>
  </si>
  <si>
    <t>01035           </t>
  </si>
  <si>
    <t>584 Main Street Room 24</t>
  </si>
  <si>
    <t>Athol</t>
  </si>
  <si>
    <t>01331              </t>
  </si>
  <si>
    <t>Brook Street     </t>
  </si>
  <si>
    <t>Ayer</t>
  </si>
  <si>
    <t>MA</t>
  </si>
  <si>
    <t>01432               </t>
  </si>
  <si>
    <t>617 Pierces Way</t>
  </si>
  <si>
    <t>Hyannis</t>
  </si>
  <si>
    <t>02601         </t>
  </si>
  <si>
    <t>411 Wheelwright Road </t>
  </si>
  <si>
    <t>Barre</t>
  </si>
  <si>
    <t>01005                              </t>
  </si>
  <si>
    <t>70 Letchworth Avenue</t>
  </si>
  <si>
    <t>N. Billerica</t>
  </si>
  <si>
    <t>01862    </t>
  </si>
  <si>
    <t>100 Morris Avenue         </t>
  </si>
  <si>
    <t>Bridgewater</t>
  </si>
  <si>
    <t>303 Oak Hill Way              </t>
  </si>
  <si>
    <t>Brockton</t>
  </si>
  <si>
    <t>Medway</t>
  </si>
  <si>
    <t>02053       </t>
  </si>
  <si>
    <t>37 Main Street (mail)     7 Worcester Rd (plant) </t>
  </si>
  <si>
    <t>Charlton</t>
  </si>
  <si>
    <t>01507       </t>
  </si>
  <si>
    <t>80 Medina Street</t>
  </si>
  <si>
    <t>Chicopee</t>
  </si>
  <si>
    <t>01013      </t>
  </si>
  <si>
    <t>677 High Street</t>
  </si>
  <si>
    <t>Clinton</t>
  </si>
  <si>
    <t>01510          </t>
  </si>
  <si>
    <t>509 Bedford Street         </t>
  </si>
  <si>
    <t>Concord</t>
  </si>
  <si>
    <t>01742        </t>
  </si>
  <si>
    <t>85 WALKER ROAD</t>
  </si>
  <si>
    <t>SHIRLEY</t>
  </si>
  <si>
    <t>55 Little Meadow Rd</t>
  </si>
  <si>
    <t>Deerfield</t>
  </si>
  <si>
    <t>01342</t>
  </si>
  <si>
    <t>10 Gosselin Drive            </t>
  </si>
  <si>
    <t>Easthampton</t>
  </si>
  <si>
    <t>01027              </t>
  </si>
  <si>
    <t>West Tisbury Road         P.O. Box 1068   </t>
  </si>
  <si>
    <t>Edgartown</t>
  </si>
  <si>
    <t>02539   </t>
  </si>
  <si>
    <t>97 East Main Street</t>
  </si>
  <si>
    <t>Erving</t>
  </si>
  <si>
    <t>01344            </t>
  </si>
  <si>
    <t>1979 Bay Street</t>
  </si>
  <si>
    <t>02724       </t>
  </si>
  <si>
    <t>154 Blacksmithshop Road (plant)        416 Giford St (mail)        </t>
  </si>
  <si>
    <t>Falmouth</t>
  </si>
  <si>
    <t>02540     </t>
  </si>
  <si>
    <t>718 Main Street (office)  Lanidies Lane (plant)     </t>
  </si>
  <si>
    <t>Fitchburg</t>
  </si>
  <si>
    <t>01420      </t>
  </si>
  <si>
    <t>Pine St. P.O. Box 147     </t>
  </si>
  <si>
    <t>Gilbertville</t>
  </si>
  <si>
    <t>01031   </t>
  </si>
  <si>
    <t>--</t>
  </si>
  <si>
    <t>50 Essex Avenue             </t>
  </si>
  <si>
    <t>Gloucester</t>
  </si>
  <si>
    <t>01930  </t>
  </si>
  <si>
    <t>100 Bentley Road            </t>
  </si>
  <si>
    <t>Great Barrington</t>
  </si>
  <si>
    <t>01230       </t>
  </si>
  <si>
    <t>240 Charles Street          </t>
  </si>
  <si>
    <t>North Andover</t>
  </si>
  <si>
    <t>01845          </t>
  </si>
  <si>
    <t>384 Deerfield Street      </t>
  </si>
  <si>
    <t>01301   </t>
  </si>
  <si>
    <t>230 South Middle Street              </t>
  </si>
  <si>
    <t>260 Main Street               </t>
  </si>
  <si>
    <t>Hatfield</t>
  </si>
  <si>
    <t>01038         </t>
  </si>
  <si>
    <t>40 South Porter Street  </t>
  </si>
  <si>
    <t>Haverhill</t>
  </si>
  <si>
    <t>01835       </t>
  </si>
  <si>
    <t>One Berkshire Street    </t>
  </si>
  <si>
    <t>Holyoke</t>
  </si>
  <si>
    <t>01040        </t>
  </si>
  <si>
    <t>667 Simonds Road          </t>
  </si>
  <si>
    <t>Williamstown</t>
  </si>
  <si>
    <t>01267             </t>
  </si>
  <si>
    <t>154 Mendon St (plant)  P.O. Box 7 (mail)              </t>
  </si>
  <si>
    <t>Hopedale</t>
  </si>
  <si>
    <t>01747     </t>
  </si>
  <si>
    <t>1111 Nantasket Avenue               </t>
  </si>
  <si>
    <t>Hull</t>
  </si>
  <si>
    <t>02045 </t>
  </si>
  <si>
    <t>Route 112        PO Box 301        </t>
  </si>
  <si>
    <t>Huntington</t>
  </si>
  <si>
    <t>01050  </t>
  </si>
  <si>
    <t>20 Fowlers Lane PO Box 151       </t>
  </si>
  <si>
    <t>Ipswich</t>
  </si>
  <si>
    <t>01938         </t>
  </si>
  <si>
    <t>379 Pleasant St</t>
  </si>
  <si>
    <t>Lee</t>
  </si>
  <si>
    <t>01238 </t>
  </si>
  <si>
    <t>436 Mechanic Street      </t>
  </si>
  <si>
    <t>Leominster</t>
  </si>
  <si>
    <t>01453  </t>
  </si>
  <si>
    <t>451 First Street Blvd Rt 110          </t>
  </si>
  <si>
    <t>Lowell</t>
  </si>
  <si>
    <t>01850            </t>
  </si>
  <si>
    <t>2 Circle Avenue</t>
  </si>
  <si>
    <t>Lynn</t>
  </si>
  <si>
    <t>01905               </t>
  </si>
  <si>
    <t>12 Church Street             </t>
  </si>
  <si>
    <t>Manchester By Sea</t>
  </si>
  <si>
    <t>01944  </t>
  </si>
  <si>
    <t>6 Park Row (mail)    (88 Hill St   Norton, MA 02766)          </t>
  </si>
  <si>
    <t>Mansfield</t>
  </si>
  <si>
    <t>02048    </t>
  </si>
  <si>
    <t>50 Benson Brook             PO Box 1058      </t>
  </si>
  <si>
    <t>Marion</t>
  </si>
  <si>
    <t>02738          </t>
  </si>
  <si>
    <t>860 Boston Post Road East          </t>
  </si>
  <si>
    <t>Marlborough</t>
  </si>
  <si>
    <t>01752              </t>
  </si>
  <si>
    <t>303 Boundary Street      </t>
  </si>
  <si>
    <t>P.O. Box 268      (200 Joseph Dry Beeck Way  Marshfield, MA 02050)</t>
  </si>
  <si>
    <t>Brant Rock</t>
  </si>
  <si>
    <t>02020   </t>
  </si>
  <si>
    <t>190 Tafts Avenue            </t>
  </si>
  <si>
    <t>Winthrop</t>
  </si>
  <si>
    <t>02152     </t>
  </si>
  <si>
    <t>99 Old Bridge Street       </t>
  </si>
  <si>
    <t>Medfield</t>
  </si>
  <si>
    <t>02052      </t>
  </si>
  <si>
    <t>1000 S. Rodney French Blvd        </t>
  </si>
  <si>
    <t>New Bedford</t>
  </si>
  <si>
    <t>MA          </t>
  </si>
  <si>
    <t>157 Water Street             </t>
  </si>
  <si>
    <t>Newburyport</t>
  </si>
  <si>
    <t>01950             </t>
  </si>
  <si>
    <t>Cedar Rd (plant)            49 Whiting St (mailing)  </t>
  </si>
  <si>
    <t>North Attleboro</t>
  </si>
  <si>
    <t>02760        </t>
  </si>
  <si>
    <t>PO Box 236 (mailing)       59 East Brookfield Rd plant         </t>
  </si>
  <si>
    <t>North Brookfield</t>
  </si>
  <si>
    <t>01535       </t>
  </si>
  <si>
    <t>33 Hockanum Road        </t>
  </si>
  <si>
    <t>Northampton</t>
  </si>
  <si>
    <t>01060             </t>
  </si>
  <si>
    <t>644 Providence Road     7 Main St (mail)</t>
  </si>
  <si>
    <t>Whitinsville</t>
  </si>
  <si>
    <t>01588 </t>
  </si>
  <si>
    <t>104 Meadow Street       </t>
  </si>
  <si>
    <t>Northfield</t>
  </si>
  <si>
    <t>01360    </t>
  </si>
  <si>
    <t>Pennsylvania Avenue   </t>
  </si>
  <si>
    <t>Oak Bluffs</t>
  </si>
  <si>
    <t>02557    </t>
  </si>
  <si>
    <t>295 West Main Street (plant)     PO Box 267 (mail)            </t>
  </si>
  <si>
    <t>Orange</t>
  </si>
  <si>
    <t>MA </t>
  </si>
  <si>
    <t xml:space="preserve"> 01364         </t>
  </si>
  <si>
    <t>28 Comins Rd (plant)     PO Box 246 (mailing)      </t>
  </si>
  <si>
    <t>Rochdale</t>
  </si>
  <si>
    <t>01542      </t>
  </si>
  <si>
    <t>One Norbell Street         </t>
  </si>
  <si>
    <t>Three Rivers</t>
  </si>
  <si>
    <t>P.O. Box 319 (mail)         47 Nashua Rd (plant)     </t>
  </si>
  <si>
    <t>Pepperell</t>
  </si>
  <si>
    <t>01463     </t>
  </si>
  <si>
    <t>901 Holmes Road            </t>
  </si>
  <si>
    <t>Pittsfield</t>
  </si>
  <si>
    <t>01201       </t>
  </si>
  <si>
    <t>131 Camelot Drive          </t>
  </si>
  <si>
    <t>Plymouth</t>
  </si>
  <si>
    <t xml:space="preserve">02360      </t>
  </si>
  <si>
    <t>587 R Summer Street    PO Box 330        </t>
  </si>
  <si>
    <t>Rockland</t>
  </si>
  <si>
    <t>02370      </t>
  </si>
  <si>
    <t>200 Main Street   P.O. Box 131      </t>
  </si>
  <si>
    <t>Russell</t>
  </si>
  <si>
    <t>01071           </t>
  </si>
  <si>
    <t>125 Elm St           </t>
  </si>
  <si>
    <t>01952       </t>
  </si>
  <si>
    <t>116 Walker Street           </t>
  </si>
  <si>
    <t>Somerset</t>
  </si>
  <si>
    <t>02725     </t>
  </si>
  <si>
    <t>150 Sunderland Rd.</t>
  </si>
  <si>
    <t>South Deerfield</t>
  </si>
  <si>
    <t>01373</t>
  </si>
  <si>
    <t>50 Fort Avenue   P.O. Box 989      </t>
  </si>
  <si>
    <t>Salem</t>
  </si>
  <si>
    <t>01970            </t>
  </si>
  <si>
    <t xml:space="preserve">2 James Street  </t>
  </si>
  <si>
    <t>01020      </t>
  </si>
  <si>
    <t>P.O. Box 1020 (mail)       83 Dresser Hill Rd (plant)              </t>
  </si>
  <si>
    <t>Southbridge</t>
  </si>
  <si>
    <t>69 West Main Street      </t>
  </si>
  <si>
    <t>Spencer</t>
  </si>
  <si>
    <t>01562        </t>
  </si>
  <si>
    <t>Route 5               </t>
  </si>
  <si>
    <t>Springfield</t>
  </si>
  <si>
    <t>01103   </t>
  </si>
  <si>
    <t>#1 Rt 102             </t>
  </si>
  <si>
    <t>Stockbridge</t>
  </si>
  <si>
    <t>01262 </t>
  </si>
  <si>
    <t>113 River Road </t>
  </si>
  <si>
    <t>Sunderland</t>
  </si>
  <si>
    <t>01375 </t>
  </si>
  <si>
    <t>825 West Water Street </t>
  </si>
  <si>
    <t>Taunton</t>
  </si>
  <si>
    <t>02780        </t>
  </si>
  <si>
    <t>50 Route 20                                       </t>
  </si>
  <si>
    <t>Millbury</t>
  </si>
  <si>
    <t>01527-2199             </t>
  </si>
  <si>
    <t>80 River Road    </t>
  </si>
  <si>
    <t>Uxbridge</t>
  </si>
  <si>
    <t>01569      </t>
  </si>
  <si>
    <t>6 Tony’s Lane    </t>
  </si>
  <si>
    <t>Wareham</t>
  </si>
  <si>
    <t>02571     </t>
  </si>
  <si>
    <t>PO Box 104 (mail)      2527 Main St. (plant)     </t>
  </si>
  <si>
    <t>West Warren</t>
  </si>
  <si>
    <t>01092              </t>
  </si>
  <si>
    <t>490 Boston Post Road   </t>
  </si>
  <si>
    <t>Wayland</t>
  </si>
  <si>
    <t>01778       </t>
  </si>
  <si>
    <t>Webster</t>
  </si>
  <si>
    <t>59 Court Street</t>
  </si>
  <si>
    <t>Westfield</t>
  </si>
  <si>
    <t>Dartmouth</t>
  </si>
  <si>
    <t>Fairhaven</t>
  </si>
  <si>
    <t>759 Russells Mills Road</t>
  </si>
  <si>
    <t>02748  </t>
  </si>
  <si>
    <t>5 Arsene Street               </t>
  </si>
  <si>
    <t>02719     </t>
  </si>
  <si>
    <t>52 Plant Road    </t>
  </si>
  <si>
    <t>Templeton</t>
  </si>
  <si>
    <t>01438  </t>
  </si>
  <si>
    <t>8 Cranberry Road</t>
  </si>
  <si>
    <t>Kingston</t>
  </si>
  <si>
    <t>02364</t>
  </si>
  <si>
    <t>One Main Road</t>
  </si>
  <si>
    <t>Otis</t>
  </si>
  <si>
    <t>01253</t>
  </si>
  <si>
    <t>01080</t>
  </si>
  <si>
    <t>P.O. Box 793 (mail)         </t>
  </si>
  <si>
    <t>38 Hill Street (plant)       </t>
  </si>
  <si>
    <t>01570            </t>
  </si>
  <si>
    <t>Contact</t>
  </si>
  <si>
    <t>Mailing Address</t>
  </si>
  <si>
    <t>Physical Address</t>
  </si>
  <si>
    <t>City or Town</t>
  </si>
  <si>
    <t>State</t>
  </si>
  <si>
    <t>Zip</t>
  </si>
  <si>
    <t>Phone</t>
  </si>
  <si>
    <t>email address</t>
  </si>
  <si>
    <t>Facility Name</t>
  </si>
  <si>
    <t>Person completing survey</t>
  </si>
  <si>
    <t>Ayer Wastewater Treatment Plant</t>
  </si>
  <si>
    <t>CONTACT INFO (MWPCA)</t>
  </si>
  <si>
    <t>MassWRA Deer Island Wastewater Treatment Plant</t>
  </si>
  <si>
    <t>66 Village Street</t>
  </si>
  <si>
    <t>TOTALS:</t>
  </si>
  <si>
    <t>MA population https://www.census.gov/quickfacts/fact/table/MA#</t>
  </si>
  <si>
    <t>(using 1990 data)</t>
  </si>
  <si>
    <t>Nitrification/Denitrification? Yes/No</t>
  </si>
  <si>
    <t>Description of Nitr/Denitr. Process</t>
  </si>
  <si>
    <t>Phosphorus (P) Removal? Yes/No</t>
  </si>
  <si>
    <t>Description of P Removal Process</t>
  </si>
  <si>
    <t>response rates:</t>
  </si>
  <si>
    <t>WRRFs shipping liquid solids:</t>
  </si>
  <si>
    <t>total mass of solids shipped dewatered:</t>
  </si>
  <si>
    <t>total mass of solids shipped liquid (dry U. S. tons):</t>
  </si>
  <si>
    <t>N removal requirements are coming in the next few years</t>
  </si>
  <si>
    <t>incinerated at Naugatuck (609.6 mt), Waterbury (197.6 mt), Hartford (197.6 mt), and landfilled at No. Cntry. Envtl. In NH (~97 mt).</t>
  </si>
  <si>
    <t>BFP gets 25 - 30% solids; Centr gets 30 - 35% solids</t>
  </si>
  <si>
    <t>Chicopee WWTP</t>
  </si>
  <si>
    <t>maybe</t>
  </si>
  <si>
    <t>No space on property</t>
  </si>
  <si>
    <t>Cramped space here.</t>
  </si>
  <si>
    <t xml:space="preserve"> Sludge just goes where it is least expensive and close by - that's the best.</t>
  </si>
  <si>
    <t>The next upgrade will be for N removal.  However, the discussion continues about this plant becoming a large pump station sending wastewater to Bondi's Island/Springfield.  The facility has very little space to expand. Sludge will continue to be shipped out, and that is likely to cost more; right now, grit and screening costs went up when Chicopee landfill closed; the truckload cost is now $800 to go to Fitchburg.</t>
  </si>
  <si>
    <t>see https://www.glsd.org/administration/operations/</t>
  </si>
  <si>
    <t>3200000 gals sludge from other WRRFs</t>
  </si>
  <si>
    <t>Fairhaven WPCF</t>
  </si>
  <si>
    <t>Newburyport MA WWTF</t>
  </si>
  <si>
    <t>Upper Blackstone WPAD</t>
  </si>
  <si>
    <t>More</t>
  </si>
  <si>
    <t>Yes-Digesters should be put back online</t>
  </si>
  <si>
    <t>The Town will be building an upgrade to include Nitrogen removal, so there will be some as of yet unknown changes depending on the process that is chosen.</t>
  </si>
  <si>
    <t>Blue Pro Upflow Filtration</t>
  </si>
  <si>
    <t>Other Treatment Process. Shipped to sludge processor under contract with city for disposal.</t>
  </si>
  <si>
    <t>Sludge sent to sludge processor offsite for disposal</t>
  </si>
  <si>
    <t>Will be looking for new contractor soon</t>
  </si>
  <si>
    <t>We have a local disposal option</t>
  </si>
  <si>
    <t>Sodium ALuminate and PAC</t>
  </si>
  <si>
    <t>$101</t>
  </si>
  <si>
    <t>Higher solids content</t>
  </si>
  <si>
    <t>Gardner WPCF</t>
  </si>
  <si>
    <t>Dartmouth WWTF</t>
  </si>
  <si>
    <t>Adams WWTP</t>
  </si>
  <si>
    <t>273 Columbia Street      </t>
  </si>
  <si>
    <t>Adams</t>
  </si>
  <si>
    <t>01220           </t>
  </si>
  <si>
    <t>Ashfield</t>
  </si>
  <si>
    <t>Attleboro WWTP</t>
  </si>
  <si>
    <t>Belchertown WWTP</t>
  </si>
  <si>
    <t>Buckland / Shelburne Falls WWTP</t>
  </si>
  <si>
    <t>Chatham WPCF</t>
  </si>
  <si>
    <t>Cohasset WWTP              </t>
  </si>
  <si>
    <t>Douglas WWTP</t>
  </si>
  <si>
    <t xml:space="preserve">Erving POTW #1                </t>
  </si>
  <si>
    <t>Grafton WWTP</t>
  </si>
  <si>
    <t>Hudson WWTF </t>
  </si>
  <si>
    <t>Leicester WWTP              </t>
  </si>
  <si>
    <t>Lenox Center WWTP     </t>
  </si>
  <si>
    <t>Maynard WWTP              </t>
  </si>
  <si>
    <t>Merrimac WWTP             </t>
  </si>
  <si>
    <t>Middleborough WWTP </t>
  </si>
  <si>
    <t>Milford WWTP </t>
  </si>
  <si>
    <t>Monroe WWTP</t>
  </si>
  <si>
    <t>Montague WPCF             </t>
  </si>
  <si>
    <t>Provincetown Public Works</t>
  </si>
  <si>
    <t>Rockport WWTP              </t>
  </si>
  <si>
    <t>Royalston WPCF              </t>
  </si>
  <si>
    <t>Scituate WWTF</t>
  </si>
  <si>
    <t>Sturbridge WPCF             </t>
  </si>
  <si>
    <t>Bridgewater Correctional Complex</t>
  </si>
  <si>
    <t>Templeton WWTP          </t>
  </si>
  <si>
    <t>Tisbury Public Works</t>
  </si>
  <si>
    <t>Upton WWTP   </t>
  </si>
  <si>
    <t>Ware WWTP     </t>
  </si>
  <si>
    <t>West Stockbridge</t>
  </si>
  <si>
    <t>Winchendon WPCF        </t>
  </si>
  <si>
    <t>Charlemont WWTP        </t>
  </si>
  <si>
    <t>Devens WWTP</t>
  </si>
  <si>
    <t>less than 0.5 MGD:</t>
  </si>
  <si>
    <t>from 0.5 - 1 MGD:</t>
  </si>
  <si>
    <t>from 1 - 5 MGD:</t>
  </si>
  <si>
    <t>from 5 - 10 MGD:</t>
  </si>
  <si>
    <t>&gt; 20 MGD:</t>
  </si>
  <si>
    <t>from  10- 20 MGD:</t>
  </si>
  <si>
    <t>total (check):</t>
  </si>
  <si>
    <t xml:space="preserve">Total from survey responses plus historic data (122): </t>
  </si>
  <si>
    <t>Sludge is put in lagoons; no removal in 2018.</t>
  </si>
  <si>
    <t>Calculating population served, represented in survey</t>
  </si>
  <si>
    <t>population represented in survey responses; does not include 38 small facilities for which sludge data were estimated in the two preceding columns</t>
  </si>
  <si>
    <t>sewered MA population in 2018 based on rate of sewering from 1990 report (see below)</t>
  </si>
  <si>
    <t>or more of the population represented in survey responses are likely not sewered (but much of their septage likely goes to WRRFs)</t>
  </si>
  <si>
    <t>Confirming that 27% of MA population on septic systems is a reasonable estimate:</t>
  </si>
  <si>
    <t>percentage of MA population represented by survey responses</t>
  </si>
  <si>
    <t>adjusted percentage of sewered population represented by survey responses, assuming the below % of population in survey responses is sewered</t>
  </si>
  <si>
    <t>median of the two percentages, which represents the middle of the range, a reasonable estimate of the percentage of sewered population captured by survey responses</t>
  </si>
  <si>
    <r>
      <t xml:space="preserve">Permitted or Design Flow (MGD) </t>
    </r>
    <r>
      <rPr>
        <sz val="12"/>
        <color rgb="FF000000"/>
        <rFont val="Calibri"/>
        <family val="2"/>
        <scheme val="minor"/>
      </rPr>
      <t>(all 122 WRRFs)</t>
    </r>
  </si>
  <si>
    <t>2225 - skewed value due to paper mill</t>
  </si>
  <si>
    <t>43818 - erroneous</t>
  </si>
  <si>
    <t>Means:</t>
  </si>
  <si>
    <r>
      <t xml:space="preserve">Avg. Daily Flow (MGD) </t>
    </r>
    <r>
      <rPr>
        <sz val="12"/>
        <color theme="1"/>
        <rFont val="Calibri"/>
        <family val="2"/>
        <scheme val="minor"/>
      </rPr>
      <t>(all 122 WRRFs)</t>
    </r>
  </si>
  <si>
    <t>Breakdown of facilities by size…</t>
  </si>
  <si>
    <t>all 122 WRRFs</t>
  </si>
  <si>
    <t>over 5 MGD:</t>
  </si>
  <si>
    <t>responses represent this % of total avg. daily flow:</t>
  </si>
  <si>
    <t>Industrial Pretreatment?</t>
  </si>
  <si>
    <t>Description of Industrial Pretreatment, etc.</t>
  </si>
  <si>
    <t>Units used for reporting sludge (solids) mass</t>
  </si>
  <si>
    <t>Dry U.S. tons per year</t>
  </si>
  <si>
    <t>Dry metric tons per year</t>
  </si>
  <si>
    <t>Wet U.S. tons per year</t>
  </si>
  <si>
    <t>% solids of sludge</t>
  </si>
  <si>
    <t>Wet metric tons per year</t>
  </si>
  <si>
    <t>Cubic yards per year</t>
  </si>
  <si>
    <t>Gallons per year</t>
  </si>
  <si>
    <t>adjusted sewered population represented by survey responses, assuming the below % of population in survey responses is not sewered; this is confirmed by CWNS 2008 data showing 4,780,046 "actual receiving population" for the same WRRFs</t>
  </si>
  <si>
    <t>average size of 41 facilities shipping liquid solids (MGD):</t>
  </si>
  <si>
    <t>does not include Fall River, which incinerates liquid on site</t>
  </si>
  <si>
    <t>average size of 37 facilities shipping dewatered solids (MGD):</t>
  </si>
  <si>
    <t>includes Lynn, Upper Blackstone, etc. who incinerate dewatered solids on site; does not include MWRA Deer Island</t>
  </si>
  <si>
    <t>U. S. EPA ECHO electronic reporting 2016</t>
  </si>
  <si>
    <t>U. S. EPA ECHO electronic reporting 2017 (dry metric tons)</t>
  </si>
  <si>
    <t>Land applied</t>
  </si>
  <si>
    <t>Incinerated</t>
  </si>
  <si>
    <t>Landfill disposal</t>
  </si>
  <si>
    <t>Surface disposal /monofill</t>
  </si>
  <si>
    <t>Put in storage</t>
  </si>
  <si>
    <t>Other management</t>
  </si>
  <si>
    <t>Discussion</t>
  </si>
  <si>
    <t>went to Fitchburg incinerator in 2005; assumed incineration still</t>
  </si>
  <si>
    <t>went to incinerators in 2005; assumed incineration still</t>
  </si>
  <si>
    <t>landfilled in 2005; assumed landfilled still</t>
  </si>
  <si>
    <t>almost all was incinerated in 2017; assume all is in 2018</t>
  </si>
  <si>
    <t>incinerated in 2005; assume same in 2018</t>
  </si>
  <si>
    <t>assume landfill disposal</t>
  </si>
  <si>
    <t>assume incineration</t>
  </si>
  <si>
    <t>assume landfill</t>
  </si>
  <si>
    <t>incinerated at Brockton in 2005; assume same</t>
  </si>
  <si>
    <t>incinerated in 2017; assume same</t>
  </si>
  <si>
    <t>incinerated in 2005; assume same</t>
  </si>
  <si>
    <t>landfilled in 2005; assume same</t>
  </si>
  <si>
    <t>went to ME compost in 2005; assume same</t>
  </si>
  <si>
    <t>went to UBWPD for incin. in 2005; assume same</t>
  </si>
  <si>
    <t>went to another Marlborough in 2005; assume same; they landfill most now</t>
  </si>
  <si>
    <t>went to Ipswich compost in 2005; assume same</t>
  </si>
  <si>
    <t>calcuated sludge generation, assume landfill</t>
  </si>
  <si>
    <t>incinerated in 2005, assume same</t>
  </si>
  <si>
    <t>land applied in 2005; assume same</t>
  </si>
  <si>
    <t>went to WeCare (Marlborough?) in 2005; assume landfilled now</t>
  </si>
  <si>
    <t>incinerated in 2017, assume same</t>
  </si>
  <si>
    <t>facilities sending solids to other WRRF elsewhere / how much:</t>
  </si>
  <si>
    <t>Septage received in 2018 (gallons)</t>
  </si>
  <si>
    <t>Septage</t>
  </si>
  <si>
    <t>WRRF wastewater flows &amp; populations served</t>
  </si>
  <si>
    <t>Biosolids / sludge use and disposal in 2018 (dry U. S. tons)</t>
  </si>
  <si>
    <t>EPA electronic report data</t>
  </si>
  <si>
    <t>Other trucked-in waste</t>
  </si>
  <si>
    <t>Other waste trucked in? Yes/No</t>
  </si>
  <si>
    <t>Septage taken in? Yes/No</t>
  </si>
  <si>
    <t>Specialized wastewater treatment systems</t>
  </si>
  <si>
    <t>Solids treatment processes &amp; technologies</t>
  </si>
  <si>
    <t>Primary:WAS ratio (% primary)</t>
  </si>
  <si>
    <t>Costs of sludge management</t>
  </si>
  <si>
    <t>Where solids ended up</t>
  </si>
  <si>
    <t>Interest in collaborating on a regional solids management option</t>
  </si>
  <si>
    <t>Are you interested? Yes/No</t>
  </si>
  <si>
    <t>WRRF uses preliminary sludge treatments</t>
  </si>
  <si>
    <t>WRRF uses thickening</t>
  </si>
  <si>
    <t>WRRF uses aerobic digestion</t>
  </si>
  <si>
    <t>WRRF uses anaerobic digestion</t>
  </si>
  <si>
    <t>WRRF uses biogas (CH4) recovery</t>
  </si>
  <si>
    <t>WRRF uses low T (Class B) composting</t>
  </si>
  <si>
    <t>WRRF uses high T (Class A) composting</t>
  </si>
  <si>
    <t>WRRF uses alkaline stabilization</t>
  </si>
  <si>
    <t>WRRF uses heat drying</t>
  </si>
  <si>
    <t>WRRF uses some other sludge treatment(s)</t>
  </si>
  <si>
    <t>gravity thickening of primary</t>
  </si>
  <si>
    <t>no thickening of primary solids alone</t>
  </si>
  <si>
    <t>gravity belt thickening (GBT) of primary</t>
  </si>
  <si>
    <t>Centrifuge thickening of primary</t>
  </si>
  <si>
    <t>Belt filter press (BFP) thickening of primary</t>
  </si>
  <si>
    <t>Vacuum filter thickening of primary</t>
  </si>
  <si>
    <t>Other thickening of primary</t>
  </si>
  <si>
    <t>Thickening processes used - primary solids only</t>
  </si>
  <si>
    <t>Thickening processes used - WAS only</t>
  </si>
  <si>
    <t>no thickening of WAS alone</t>
  </si>
  <si>
    <t>gravity belt thickening (GBT) of WAS alone</t>
  </si>
  <si>
    <t>Centrifuge thickening of WAS alone</t>
  </si>
  <si>
    <t>gravity thickening of WAS alone</t>
  </si>
  <si>
    <t>Belt filter press (BFP) thickening of WAS alone</t>
  </si>
  <si>
    <t>Vacuum filter thickening of WAS alone</t>
  </si>
  <si>
    <t>Other thickening of WAS alone</t>
  </si>
  <si>
    <t>Thickening processes used - primary solids &amp; WAS combined</t>
  </si>
  <si>
    <t>gravity belt thickening (GBT) of combined primary &amp; WAS</t>
  </si>
  <si>
    <t>gravity thickening of combined primary &amp; WAS</t>
  </si>
  <si>
    <t>Centrifuge thickening of combined primary &amp; WAS</t>
  </si>
  <si>
    <t>Belt filter press (BFP) thickening of combined primary &amp; WAS</t>
  </si>
  <si>
    <t>Vacuum filter thickening of combined primary &amp; WAS</t>
  </si>
  <si>
    <t>Other thickening of combined primary &amp; WAS</t>
  </si>
  <si>
    <t>The WRRF staff</t>
  </si>
  <si>
    <t>Who manages end use or disposal?</t>
  </si>
  <si>
    <t>Biosolids in bulk or bags?</t>
  </si>
  <si>
    <t>in bulk</t>
  </si>
  <si>
    <t>in bags</t>
  </si>
  <si>
    <t>Class of biosolids</t>
  </si>
  <si>
    <t>N/A or not treated</t>
  </si>
  <si>
    <t>survey responses only (48):</t>
  </si>
  <si>
    <t>Vector attraction reduction (VAR) system used</t>
  </si>
  <si>
    <t>Dewatering technology(ies) used</t>
  </si>
  <si>
    <t>If so, how important is this? Extremely to not at all</t>
  </si>
  <si>
    <t>Would you host a regional facility?</t>
  </si>
  <si>
    <t>Total paid in 2018 for solids disposal</t>
  </si>
  <si>
    <t>Solids increase expected in 10 years?</t>
  </si>
  <si>
    <t>Solids disposal cost increase expected in 10 years?</t>
  </si>
  <si>
    <t>Changes to solids treatment &amp; handling processes expected?</t>
  </si>
  <si>
    <t>Explain further</t>
  </si>
  <si>
    <t>Would you send solids to a regional facility?</t>
  </si>
  <si>
    <t>Explain</t>
  </si>
  <si>
    <t>Comments</t>
  </si>
  <si>
    <t>Wall Trucking picks up our liquid sludge and takes it to the Lowell, MA WWTP. What they do with it I do not know. It used to be incinerated at Cranston, RI, and before that it went to Montague, MA, and before that it went to the incinerator at Fitchburg, MA.  This dollar figure includes the smaller Deerfield plant.</t>
  </si>
  <si>
    <t>no change expected (0):</t>
  </si>
  <si>
    <t>100 % offsite anaerobic digester.</t>
  </si>
  <si>
    <t>added decimal points to nos. at left</t>
  </si>
  <si>
    <t>specified per wet ton</t>
  </si>
  <si>
    <t>9 cents oer gallon</t>
  </si>
  <si>
    <t>295/dt</t>
  </si>
  <si>
    <t>City of Greenfield WPCF</t>
  </si>
  <si>
    <t xml:space="preserve">Very limited as we have limited industrial contributors. </t>
  </si>
  <si>
    <t>Grease from grease interceptors, in town only.</t>
  </si>
  <si>
    <t>See previous comments</t>
  </si>
  <si>
    <t>.18 cents per gallon plus $450 to transport.</t>
  </si>
  <si>
    <t xml:space="preserve">Total for year is approximate. </t>
  </si>
  <si>
    <t>digestion/composting</t>
  </si>
  <si>
    <t>City is currently undertaking a project to build an anaerobic digester and composting facility.</t>
  </si>
  <si>
    <t xml:space="preserve">We intend to be a regional disposal destination once we get up and running and will expand to fill the need. </t>
  </si>
  <si>
    <t>the costs are soaring and with so many other mandates an economy of scale seems to be the best "fix". along with grant assistance.</t>
  </si>
  <si>
    <t>It is cost prohibitive and capacity is shrinking not expanding.</t>
  </si>
  <si>
    <t>Greenfield WPCF   </t>
  </si>
  <si>
    <t>85 responses</t>
  </si>
  <si>
    <t xml:space="preserve">Total from survey responses only (81): </t>
  </si>
  <si>
    <r>
      <t xml:space="preserve">Avg. Daily Flow (MGD) </t>
    </r>
    <r>
      <rPr>
        <sz val="12"/>
        <color theme="1"/>
        <rFont val="Calibri"/>
        <family val="2"/>
        <scheme val="minor"/>
      </rPr>
      <t>(just 85 survey responses)</t>
    </r>
  </si>
  <si>
    <r>
      <t xml:space="preserve">Permitted or Design Flow (MGD) </t>
    </r>
    <r>
      <rPr>
        <sz val="12"/>
        <color theme="1"/>
        <rFont val="Calibri"/>
        <family val="2"/>
        <scheme val="minor"/>
      </rPr>
      <t>(just 85 survey responses)</t>
    </r>
  </si>
  <si>
    <r>
      <t>Actual Residential Population Served</t>
    </r>
    <r>
      <rPr>
        <sz val="12"/>
        <color theme="1"/>
        <rFont val="Calibri"/>
        <family val="2"/>
        <scheme val="minor"/>
      </rPr>
      <t xml:space="preserve"> (from 85 survey responses)</t>
    </r>
  </si>
  <si>
    <t>U. S. EPA ECHO electronic reporting 2018 - data will be available</t>
  </si>
  <si>
    <t>Hardwick-Gilbertville &amp; Wheelwright WPCFs</t>
  </si>
  <si>
    <t>Leominster WPCF             </t>
  </si>
  <si>
    <t>MWRA Deer Island WWTP       </t>
  </si>
  <si>
    <t>MWRA Clinton WWTP</t>
  </si>
  <si>
    <t>Old Deerfield - Historic WWTP</t>
  </si>
  <si>
    <t>Upper Blackstone WPAD (Worcester area)           </t>
  </si>
  <si>
    <t>Max:</t>
  </si>
  <si>
    <t>Min:</t>
  </si>
  <si>
    <r>
      <t xml:space="preserve">Calculated average daily flow per person/population </t>
    </r>
    <r>
      <rPr>
        <sz val="12"/>
        <color theme="1"/>
        <rFont val="Calibri"/>
        <family val="2"/>
        <scheme val="minor"/>
      </rPr>
      <t>(gals./day)</t>
    </r>
  </si>
  <si>
    <t>Calculated U. S. dt/MGD flow</t>
  </si>
  <si>
    <t>responses represent this % of total sludge production:</t>
  </si>
  <si>
    <t>20% &lt; Primary &lt; 40%:</t>
  </si>
  <si>
    <t>50% &lt; Primary &lt; 60%:</t>
  </si>
  <si>
    <t>0% &lt; Primary &lt; 20%:</t>
  </si>
  <si>
    <t>40% &lt; Primary &lt; 50%:</t>
  </si>
  <si>
    <t>MWRA Deer Island:</t>
  </si>
  <si>
    <t>compost:</t>
  </si>
  <si>
    <t>heat-dried:</t>
  </si>
  <si>
    <t>other land app:</t>
  </si>
  <si>
    <t>High temperature composting</t>
  </si>
  <si>
    <t>paper mill residual:</t>
  </si>
  <si>
    <t>Conducted for Massachusetts Clean Energy Center</t>
  </si>
  <si>
    <t>3.</t>
  </si>
  <si>
    <t>3a.</t>
  </si>
  <si>
    <t xml:space="preserve">4a. </t>
  </si>
  <si>
    <t>4</t>
  </si>
  <si>
    <t>5.</t>
  </si>
  <si>
    <t>5a.</t>
  </si>
  <si>
    <r>
      <t xml:space="preserve">Mass (or gallons) of sludge (solids) leaving WRRF in 2018 </t>
    </r>
    <r>
      <rPr>
        <sz val="16"/>
        <color theme="0" tint="-0.499984740745262"/>
        <rFont val="Calibri"/>
        <scheme val="minor"/>
      </rPr>
      <t>(gray data are conversions from black data)</t>
    </r>
  </si>
  <si>
    <t>6.</t>
  </si>
  <si>
    <t>7.</t>
  </si>
  <si>
    <t>8.</t>
  </si>
  <si>
    <t>9.</t>
  </si>
  <si>
    <t>10.</t>
  </si>
  <si>
    <t>11.</t>
  </si>
  <si>
    <t>12.</t>
  </si>
  <si>
    <t>13.</t>
  </si>
  <si>
    <t>14.</t>
  </si>
  <si>
    <t>15.</t>
  </si>
  <si>
    <t xml:space="preserve">16. </t>
  </si>
  <si>
    <t>17.</t>
  </si>
  <si>
    <t>18.</t>
  </si>
  <si>
    <t>19.</t>
  </si>
  <si>
    <t>20.</t>
  </si>
  <si>
    <t>21.</t>
  </si>
  <si>
    <t>22.</t>
  </si>
  <si>
    <t>23.</t>
  </si>
  <si>
    <t>24.</t>
  </si>
  <si>
    <t>25.</t>
  </si>
  <si>
    <t>26.</t>
  </si>
  <si>
    <t>27.</t>
  </si>
  <si>
    <t>28.</t>
  </si>
  <si>
    <t xml:space="preserve">29. </t>
  </si>
  <si>
    <t>30.</t>
  </si>
  <si>
    <t>31.</t>
  </si>
  <si>
    <t>32.</t>
  </si>
  <si>
    <t>33.</t>
  </si>
  <si>
    <t>34.</t>
  </si>
  <si>
    <t>35.</t>
  </si>
  <si>
    <t>36.</t>
  </si>
  <si>
    <t xml:space="preserve">37. </t>
  </si>
  <si>
    <t>38.</t>
  </si>
  <si>
    <t>39.</t>
  </si>
  <si>
    <t>40.</t>
  </si>
  <si>
    <t>41.</t>
  </si>
  <si>
    <t>42.</t>
  </si>
  <si>
    <t>43.</t>
  </si>
  <si>
    <t>44.</t>
  </si>
  <si>
    <t>45.</t>
  </si>
  <si>
    <r>
      <t>WRRF uses temporary storage on land (</t>
    </r>
    <r>
      <rPr>
        <b/>
        <u/>
        <sz val="12"/>
        <color rgb="FF000000"/>
        <rFont val="Calibri"/>
        <scheme val="minor"/>
      </rPr>
      <t>&lt;</t>
    </r>
    <r>
      <rPr>
        <b/>
        <sz val="12"/>
        <color rgb="FF000000"/>
        <rFont val="Calibri"/>
        <family val="2"/>
        <scheme val="minor"/>
      </rPr>
      <t>2 years)</t>
    </r>
  </si>
  <si>
    <r>
      <t xml:space="preserve">Contracted 3rd party applier </t>
    </r>
    <r>
      <rPr>
        <sz val="12"/>
        <color rgb="FF000000"/>
        <rFont val="Calibri"/>
        <family val="2"/>
        <scheme val="minor"/>
      </rPr>
      <t>(applies to soil without further treating solids)</t>
    </r>
  </si>
  <si>
    <r>
      <t xml:space="preserve">Contracted 3rd party -preparer </t>
    </r>
    <r>
      <rPr>
        <sz val="12"/>
        <color rgb="FF000000"/>
        <rFont val="Calibri"/>
        <family val="2"/>
        <scheme val="minor"/>
      </rPr>
      <t>(treats solids further)</t>
    </r>
  </si>
  <si>
    <r>
      <t xml:space="preserve">$ per U. S. dry ton </t>
    </r>
    <r>
      <rPr>
        <sz val="12"/>
        <color rgb="FF000000"/>
        <rFont val="Calibri"/>
        <family val="2"/>
        <scheme val="minor"/>
      </rPr>
      <t>(as reported in survey, at left)</t>
    </r>
  </si>
  <si>
    <r>
      <t xml:space="preserve">  </t>
    </r>
    <r>
      <rPr>
        <sz val="9"/>
        <rFont val="Calibri"/>
        <scheme val="minor"/>
      </rPr>
      <t>black data are original survey responses</t>
    </r>
  </si>
  <si>
    <t xml:space="preserve">  gray data are secondary, calculated data</t>
  </si>
  <si>
    <t xml:space="preserve">  purple = NEBRA estimate</t>
  </si>
  <si>
    <t xml:space="preserve">  green = contact info confirmed in 2019</t>
  </si>
  <si>
    <t xml:space="preserve">  sky blue = data from EPA ECHO 2017</t>
  </si>
  <si>
    <t xml:space="preserve">  dark red = data from 2005-06 Mass DEP</t>
  </si>
  <si>
    <t xml:space="preserve">    orange = data from EPA ECHO 2016</t>
  </si>
  <si>
    <t xml:space="preserve">  aqua = data from CWNS 2008</t>
  </si>
  <si>
    <t xml:space="preserve">  light blue = data from EPA Reg. 1, 2011</t>
  </si>
  <si>
    <t xml:space="preserve">  red = data summaries &amp;  calculations</t>
  </si>
  <si>
    <t xml:space="preserve">  tan highlights = original contact info</t>
  </si>
  <si>
    <t xml:space="preserve">  light gray highlight = actual survey questions</t>
  </si>
  <si>
    <t xml:space="preserve">  3 different green highlights = ECHO data</t>
  </si>
  <si>
    <t xml:space="preserve">  light orange highlight = adjusted figure</t>
  </si>
  <si>
    <t>max:</t>
  </si>
  <si>
    <t>min:</t>
  </si>
  <si>
    <t>Septage from in town only. Same</t>
  </si>
  <si>
    <t>stay with incineration. Septage about the same.  We will always be looking at mort cost effective ways to treat our residuals and the best way to utilize those residuals.</t>
  </si>
  <si>
    <t>possible renewed NPDES…. no change in sludge mgmt, WWTP staff will continueThe District is in the process of capital improvements to our composting facility buildings to start taking biosolids from other WWTF to generate more revenue.</t>
  </si>
  <si>
    <t xml:space="preserve">Considering rotary drum thickener.  We are looking at some upgrades which will give us a sludge cake, rather than a liquid at a much higher percent solids thereby reducing the amount of hauling and disposal trips that we have to pay for. </t>
  </si>
  <si>
    <t xml:space="preserve">Transportation: Same as currently - high volume tank trucks. </t>
  </si>
  <si>
    <t>Note: The data received here from survey respondents has been removed for privacy purposes.</t>
  </si>
  <si>
    <r>
      <t xml:space="preserve">CONTACT INFORMATION (MWPCA), </t>
    </r>
    <r>
      <rPr>
        <b/>
        <sz val="12"/>
        <color theme="5"/>
        <rFont val="Calibri"/>
        <scheme val="minor"/>
      </rPr>
      <t>with M. Nowak updates 2/25/19, plus updates from "Tracking Responses" spreadsheet of current survey</t>
    </r>
  </si>
  <si>
    <t>Copy of report requested by survey respondent</t>
  </si>
  <si>
    <t xml:space="preserve">Estimated MA Solids generation total*: </t>
  </si>
  <si>
    <t>*assume 12 lagoon cleanouts &amp; small missed plants @ 2 dry tons each</t>
  </si>
  <si>
    <t>percents of each:</t>
  </si>
  <si>
    <t>no data from survey or maximum:</t>
  </si>
  <si>
    <t>minimum:</t>
  </si>
  <si>
    <t>60%&lt;Primary&lt;80%:</t>
  </si>
  <si>
    <t>Primary = 0%:</t>
  </si>
  <si>
    <r>
      <t xml:space="preserve">Primary </t>
    </r>
    <r>
      <rPr>
        <u/>
        <sz val="11"/>
        <color rgb="FFFF0000"/>
        <rFont val="Calibri"/>
        <scheme val="minor"/>
      </rPr>
      <t>&gt;</t>
    </r>
    <r>
      <rPr>
        <sz val="11"/>
        <color rgb="FFFF0000"/>
        <rFont val="Calibri"/>
        <scheme val="minor"/>
      </rPr>
      <t xml:space="preserve"> 80%:</t>
    </r>
  </si>
  <si>
    <t>01085</t>
  </si>
  <si>
    <t>02324</t>
  </si>
  <si>
    <t>Springfield 30 mile radius:</t>
  </si>
  <si>
    <t>Springfield 50 mile radius:</t>
  </si>
  <si>
    <t>U. S. dt</t>
  </si>
  <si>
    <t>gals @5% solids</t>
  </si>
  <si>
    <t>gals/day</t>
  </si>
  <si>
    <t>Likely or very likely to send solids:</t>
  </si>
  <si>
    <t>Key to data &amp; cell highlight colors.</t>
  </si>
  <si>
    <t>A key to data &amp; cell highlight colors is below.</t>
  </si>
  <si>
    <t>Data with decimal places highlight calculation fields.</t>
  </si>
  <si>
    <t>I-495/95 50 mile radius, likely very likely:</t>
  </si>
  <si>
    <t>GLSD 50 mile radius, likely very likely:</t>
  </si>
  <si>
    <r>
      <t xml:space="preserve">Russell Village WWTF     </t>
    </r>
    <r>
      <rPr>
        <sz val="12"/>
        <rFont val="Calibri"/>
        <scheme val="minor"/>
      </rPr>
      <t>(there may be a small Russell #2)</t>
    </r>
  </si>
  <si>
    <r>
      <t>Westborough WWTF </t>
    </r>
    <r>
      <rPr>
        <sz val="12"/>
        <rFont val="Calibri"/>
        <scheme val="minor"/>
      </rPr>
      <t>(includes Shrewsbury)</t>
    </r>
  </si>
  <si>
    <t>Massachusetts Sludge Survey 2018 - Data &amp; Analysis</t>
  </si>
  <si>
    <t>MASS SLUDGE SURVEY 2018, March - July 2019</t>
  </si>
  <si>
    <t>ACTUAL QUESTIONS, MASS SLUDGE SURVEY 2018 (question numbers shown)</t>
  </si>
  <si>
    <t>decrease (by 15- 30%)</t>
  </si>
  <si>
    <t>increase (by 0 - 30%)</t>
  </si>
  <si>
    <t>increase by 100%</t>
  </si>
  <si>
    <t>increase by 31 - 99%</t>
  </si>
  <si>
    <r>
      <t xml:space="preserve">compiled by NEBRA - FINAL -  July 26, 2019, with </t>
    </r>
    <r>
      <rPr>
        <b/>
        <sz val="11"/>
        <color rgb="FFFF6600"/>
        <rFont val="Calibri"/>
        <scheme val="minor"/>
      </rPr>
      <t>MWRA Deer Island flow data update Dec. 30, 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</si>
</sst>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_(* #,##0.0_);_(* \(#,##0.0\);_(* &quot;-&quot;??_);_(@_)"/>
    <numFmt numFmtId="166" formatCode="0.0"/>
    <numFmt numFmtId="167" formatCode="0.0%"/>
    <numFmt numFmtId="168" formatCode="_(&quot;$&quot;* #,##0_);_(&quot;$&quot;* \(#,##0\);_(&quot;$&quot;* &quot;-&quot;??_);_(@_)"/>
  </numFmts>
  <fonts count="73">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1"/>
      <color rgb="FF333333"/>
      <name val="Arial"/>
    </font>
    <font>
      <sz val="11"/>
      <color theme="1"/>
      <name val="Calibri"/>
      <family val="2"/>
      <scheme val="minor"/>
    </font>
    <font>
      <b/>
      <sz val="12"/>
      <color theme="1"/>
      <name val="Calibri"/>
      <family val="2"/>
      <scheme val="minor"/>
    </font>
    <font>
      <sz val="11"/>
      <color rgb="FF0000FF"/>
      <name val="Calibri"/>
      <scheme val="minor"/>
    </font>
    <font>
      <sz val="11"/>
      <color theme="9" tint="-0.249977111117893"/>
      <name val="Calibri"/>
      <scheme val="minor"/>
    </font>
    <font>
      <u/>
      <sz val="11"/>
      <color theme="10"/>
      <name val="Calibri"/>
      <family val="2"/>
      <scheme val="minor"/>
    </font>
    <font>
      <u/>
      <sz val="11"/>
      <color theme="11"/>
      <name val="Calibri"/>
      <family val="2"/>
      <scheme val="minor"/>
    </font>
    <font>
      <sz val="11"/>
      <color theme="7"/>
      <name val="Calibri"/>
      <scheme val="minor"/>
    </font>
    <font>
      <sz val="11"/>
      <color rgb="FF000000"/>
      <name val="Calibri"/>
      <family val="2"/>
      <scheme val="minor"/>
    </font>
    <font>
      <b/>
      <sz val="12"/>
      <color rgb="FF000000"/>
      <name val="Calibri"/>
      <family val="2"/>
      <scheme val="minor"/>
    </font>
    <font>
      <u/>
      <sz val="12"/>
      <color theme="10"/>
      <name val="Calibri"/>
      <family val="2"/>
      <scheme val="minor"/>
    </font>
    <font>
      <sz val="12"/>
      <color rgb="FF000000"/>
      <name val="Calibri"/>
      <family val="2"/>
      <scheme val="minor"/>
    </font>
    <font>
      <sz val="12"/>
      <color rgb="FF008000"/>
      <name val="Calibri"/>
      <scheme val="minor"/>
    </font>
    <font>
      <u/>
      <sz val="12"/>
      <color rgb="FF008000"/>
      <name val="Calibri"/>
      <scheme val="minor"/>
    </font>
    <font>
      <sz val="12"/>
      <color rgb="FF00B050"/>
      <name val="Calibri"/>
      <family val="2"/>
      <scheme val="minor"/>
    </font>
    <font>
      <u/>
      <sz val="12"/>
      <color rgb="FF00B050"/>
      <name val="Calibri"/>
      <family val="2"/>
      <scheme val="minor"/>
    </font>
    <font>
      <b/>
      <sz val="11"/>
      <color theme="1"/>
      <name val="Calibri"/>
      <scheme val="minor"/>
    </font>
    <font>
      <sz val="11"/>
      <color rgb="FFFF0000"/>
      <name val="Calibri"/>
      <scheme val="minor"/>
    </font>
    <font>
      <sz val="11"/>
      <color theme="0" tint="-0.499984740745262"/>
      <name val="Calibri"/>
      <scheme val="minor"/>
    </font>
    <font>
      <sz val="11"/>
      <color rgb="FF660066"/>
      <name val="Calibri"/>
      <scheme val="minor"/>
    </font>
    <font>
      <sz val="11"/>
      <name val="Calibri"/>
      <scheme val="minor"/>
    </font>
    <font>
      <sz val="11"/>
      <color rgb="FF008000"/>
      <name val="Calibri"/>
      <scheme val="minor"/>
    </font>
    <font>
      <b/>
      <sz val="11"/>
      <color rgb="FF8064A2"/>
      <name val="Calibri"/>
      <scheme val="minor"/>
    </font>
    <font>
      <sz val="11"/>
      <color theme="5" tint="-0.499984740745262"/>
      <name val="Calibri"/>
      <scheme val="minor"/>
    </font>
    <font>
      <sz val="11"/>
      <color rgb="FF3366FF"/>
      <name val="Calibri"/>
      <scheme val="minor"/>
    </font>
    <font>
      <b/>
      <sz val="16"/>
      <color theme="1"/>
      <name val="Calibri"/>
      <scheme val="minor"/>
    </font>
    <font>
      <b/>
      <sz val="11"/>
      <color theme="8"/>
      <name val="Calibri"/>
      <scheme val="minor"/>
    </font>
    <font>
      <sz val="11"/>
      <color theme="8"/>
      <name val="Calibri"/>
      <scheme val="minor"/>
    </font>
    <font>
      <b/>
      <sz val="11"/>
      <color theme="3" tint="0.79998168889431442"/>
      <name val="Calibri"/>
      <scheme val="minor"/>
    </font>
    <font>
      <b/>
      <sz val="11"/>
      <color theme="7"/>
      <name val="Calibri"/>
      <scheme val="minor"/>
    </font>
    <font>
      <sz val="11"/>
      <color rgb="FF800000"/>
      <name val="Calibri"/>
      <scheme val="minor"/>
    </font>
    <font>
      <b/>
      <sz val="11"/>
      <color rgb="FF4BACC6"/>
      <name val="Calibri"/>
      <scheme val="minor"/>
    </font>
    <font>
      <sz val="11"/>
      <color rgb="FF8064A2"/>
      <name val="Calibri"/>
      <scheme val="minor"/>
    </font>
    <font>
      <sz val="11"/>
      <color rgb="FF4BACC6"/>
      <name val="Calibri"/>
      <scheme val="minor"/>
    </font>
    <font>
      <b/>
      <sz val="11"/>
      <color rgb="FFC5D9F1"/>
      <name val="Calibri"/>
      <scheme val="minor"/>
    </font>
    <font>
      <sz val="11"/>
      <color theme="2" tint="-0.499984740745262"/>
      <name val="Calibri"/>
      <scheme val="minor"/>
    </font>
    <font>
      <sz val="11"/>
      <color theme="2" tint="-0.249977111117893"/>
      <name val="Calibri"/>
      <scheme val="minor"/>
    </font>
    <font>
      <b/>
      <sz val="11"/>
      <color rgb="FF660066"/>
      <name val="Calibri"/>
      <scheme val="minor"/>
    </font>
    <font>
      <b/>
      <sz val="11"/>
      <color rgb="FFFF0000"/>
      <name val="Calibri"/>
      <scheme val="minor"/>
    </font>
    <font>
      <b/>
      <sz val="16"/>
      <color theme="5"/>
      <name val="Calibri"/>
      <family val="2"/>
      <scheme val="minor"/>
    </font>
    <font>
      <sz val="16"/>
      <color rgb="FF000000"/>
      <name val="Calibri"/>
      <family val="2"/>
      <scheme val="minor"/>
    </font>
    <font>
      <b/>
      <sz val="16"/>
      <color rgb="FF000000"/>
      <name val="Calibri"/>
      <family val="2"/>
      <scheme val="minor"/>
    </font>
    <font>
      <sz val="16"/>
      <color theme="0" tint="-0.499984740745262"/>
      <name val="Calibri"/>
      <scheme val="minor"/>
    </font>
    <font>
      <sz val="16"/>
      <color theme="1"/>
      <name val="Calibri"/>
      <family val="2"/>
      <scheme val="minor"/>
    </font>
    <font>
      <b/>
      <sz val="14"/>
      <color rgb="FF000000"/>
      <name val="Calibri"/>
      <scheme val="minor"/>
    </font>
    <font>
      <b/>
      <sz val="14"/>
      <color rgb="FF000000"/>
      <name val="Calibri (Body)"/>
    </font>
    <font>
      <b/>
      <sz val="20"/>
      <color theme="1"/>
      <name val="Calibri"/>
      <scheme val="minor"/>
    </font>
    <font>
      <b/>
      <sz val="14"/>
      <color theme="1"/>
      <name val="Calibri"/>
      <scheme val="minor"/>
    </font>
    <font>
      <sz val="9"/>
      <color theme="1"/>
      <name val="Calibri"/>
      <family val="2"/>
      <scheme val="minor"/>
    </font>
    <font>
      <sz val="9"/>
      <color theme="0" tint="-0.499984740745262"/>
      <name val="Calibri"/>
      <scheme val="minor"/>
    </font>
    <font>
      <sz val="9"/>
      <name val="Calibri"/>
      <scheme val="minor"/>
    </font>
    <font>
      <sz val="9"/>
      <color rgb="FFFF0000"/>
      <name val="Calibri"/>
      <scheme val="minor"/>
    </font>
    <font>
      <b/>
      <sz val="9"/>
      <color rgb="FF8064A2"/>
      <name val="Calibri"/>
      <scheme val="minor"/>
    </font>
    <font>
      <b/>
      <sz val="9"/>
      <color rgb="FF008000"/>
      <name val="Calibri"/>
      <scheme val="minor"/>
    </font>
    <font>
      <b/>
      <sz val="9"/>
      <color theme="5" tint="-0.499984740745262"/>
      <name val="Calibri"/>
      <scheme val="minor"/>
    </font>
    <font>
      <b/>
      <sz val="9"/>
      <color rgb="FF3366FF"/>
      <name val="Calibri"/>
      <scheme val="minor"/>
    </font>
    <font>
      <sz val="9"/>
      <color rgb="FF000000"/>
      <name val="Calibri"/>
      <family val="2"/>
      <scheme val="minor"/>
    </font>
    <font>
      <sz val="9"/>
      <color theme="9" tint="-0.249977111117893"/>
      <name val="Calibri"/>
      <scheme val="minor"/>
    </font>
    <font>
      <b/>
      <sz val="9"/>
      <color theme="8"/>
      <name val="Calibri"/>
      <scheme val="minor"/>
    </font>
    <font>
      <b/>
      <sz val="9"/>
      <color theme="3" tint="0.79998168889431442"/>
      <name val="Calibri"/>
      <scheme val="minor"/>
    </font>
    <font>
      <sz val="9"/>
      <color rgb="FF333333"/>
      <name val="Arial"/>
    </font>
    <font>
      <b/>
      <sz val="9"/>
      <color rgb="FF333333"/>
      <name val="Arial"/>
    </font>
    <font>
      <b/>
      <u/>
      <sz val="12"/>
      <color rgb="FF000000"/>
      <name val="Calibri"/>
      <scheme val="minor"/>
    </font>
    <font>
      <b/>
      <sz val="12"/>
      <name val="Calibri"/>
      <scheme val="minor"/>
    </font>
    <font>
      <b/>
      <sz val="12"/>
      <color theme="5"/>
      <name val="Calibri"/>
      <scheme val="minor"/>
    </font>
    <font>
      <u/>
      <sz val="11"/>
      <color rgb="FFFF0000"/>
      <name val="Calibri"/>
      <scheme val="minor"/>
    </font>
    <font>
      <sz val="12"/>
      <name val="Calibri"/>
      <scheme val="minor"/>
    </font>
    <font>
      <sz val="11"/>
      <color rgb="FFFF6600"/>
      <name val="Calibri"/>
      <scheme val="minor"/>
    </font>
    <font>
      <b/>
      <sz val="11"/>
      <color rgb="FFFF6600"/>
      <name val="Calibri"/>
      <scheme val="minor"/>
    </font>
  </fonts>
  <fills count="11">
    <fill>
      <patternFill patternType="none"/>
    </fill>
    <fill>
      <patternFill patternType="gray125"/>
    </fill>
    <fill>
      <patternFill patternType="solid">
        <fgColor theme="2" tint="-9.9978637043366805E-2"/>
        <bgColor indexed="64"/>
      </patternFill>
    </fill>
    <fill>
      <patternFill patternType="solid">
        <fgColor rgb="FFDDD9C4"/>
        <bgColor rgb="FF000000"/>
      </patternFill>
    </fill>
    <fill>
      <patternFill patternType="solid">
        <fgColor theme="9" tint="0.79998168889431442"/>
        <bgColor indexed="64"/>
      </patternFill>
    </fill>
    <fill>
      <patternFill patternType="solid">
        <fgColor theme="6" tint="0.79998168889431442"/>
        <bgColor indexed="64"/>
      </patternFill>
    </fill>
    <fill>
      <patternFill patternType="solid">
        <fgColor theme="6" tint="0.79998168889431442"/>
        <bgColor rgb="FF000000"/>
      </patternFill>
    </fill>
    <fill>
      <patternFill patternType="solid">
        <fgColor theme="6" tint="0.59999389629810485"/>
        <bgColor indexed="64"/>
      </patternFill>
    </fill>
    <fill>
      <patternFill patternType="solid">
        <fgColor theme="0" tint="-0.14999847407452621"/>
        <bgColor indexed="64"/>
      </patternFill>
    </fill>
    <fill>
      <patternFill patternType="solid">
        <fgColor theme="0" tint="-0.14999847407452621"/>
        <bgColor rgb="FFEAEAE8"/>
      </patternFill>
    </fill>
    <fill>
      <patternFill patternType="solid">
        <fgColor theme="6" tint="0.39997558519241921"/>
        <bgColor indexed="64"/>
      </patternFill>
    </fill>
  </fills>
  <borders count="35">
    <border>
      <left/>
      <right/>
      <top/>
      <bottom/>
      <diagonal/>
    </border>
    <border>
      <left/>
      <right style="thin">
        <color rgb="FFA6A6A6"/>
      </right>
      <top style="thin">
        <color rgb="FFA6A6A6"/>
      </top>
      <bottom style="thin">
        <color rgb="FFA6A6A6"/>
      </bottom>
      <diagonal/>
    </border>
    <border>
      <left/>
      <right style="thin">
        <color rgb="FFA6A6A6"/>
      </right>
      <top/>
      <bottom style="thin">
        <color rgb="FFA6A6A6"/>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top/>
      <bottom/>
      <diagonal/>
    </border>
    <border>
      <left style="thin">
        <color rgb="FFA6A6A6"/>
      </left>
      <right style="thin">
        <color rgb="FFA6A6A6"/>
      </right>
      <top style="thin">
        <color rgb="FFA6A6A6"/>
      </top>
      <bottom style="thin">
        <color rgb="FFA6A6A6"/>
      </bottom>
      <diagonal/>
    </border>
    <border>
      <left style="thin">
        <color auto="1"/>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rgb="FFA6A6A6"/>
      </top>
      <bottom/>
      <diagonal/>
    </border>
    <border>
      <left style="thin">
        <color auto="1"/>
      </left>
      <right/>
      <top style="thin">
        <color rgb="FFA6A6A6"/>
      </top>
      <bottom style="thin">
        <color rgb="FFA6A6A6"/>
      </bottom>
      <diagonal/>
    </border>
    <border>
      <left/>
      <right/>
      <top/>
      <bottom style="thin">
        <color rgb="FFA6A6A6"/>
      </bottom>
      <diagonal/>
    </border>
    <border>
      <left/>
      <right/>
      <top style="thin">
        <color rgb="FFA6A6A6"/>
      </top>
      <bottom style="thin">
        <color rgb="FFA6A6A6"/>
      </bottom>
      <diagonal/>
    </border>
    <border>
      <left style="thin">
        <color auto="1"/>
      </left>
      <right style="thin">
        <color rgb="FFA6A6A6"/>
      </right>
      <top/>
      <bottom style="thin">
        <color rgb="FFA6A6A6"/>
      </bottom>
      <diagonal/>
    </border>
    <border>
      <left style="thin">
        <color auto="1"/>
      </left>
      <right/>
      <top/>
      <bottom style="thin">
        <color rgb="FFA6A6A6"/>
      </bottom>
      <diagonal/>
    </border>
    <border>
      <left style="thin">
        <color auto="1"/>
      </left>
      <right style="thin">
        <color auto="1"/>
      </right>
      <top style="thin">
        <color rgb="FFA6A6A6"/>
      </top>
      <bottom style="thin">
        <color rgb="FFA6A6A6"/>
      </bottom>
      <diagonal/>
    </border>
    <border>
      <left style="thin">
        <color auto="1"/>
      </left>
      <right style="thin">
        <color auto="1"/>
      </right>
      <top/>
      <bottom style="thin">
        <color rgb="FFA6A6A6"/>
      </bottom>
      <diagonal/>
    </border>
    <border>
      <left style="thin">
        <color auto="1"/>
      </left>
      <right style="thin">
        <color auto="1"/>
      </right>
      <top style="thin">
        <color auto="1"/>
      </top>
      <bottom/>
      <diagonal/>
    </border>
    <border>
      <left/>
      <right/>
      <top/>
      <bottom style="medium">
        <color auto="1"/>
      </bottom>
      <diagonal/>
    </border>
    <border>
      <left style="thin">
        <color auto="1"/>
      </left>
      <right style="thin">
        <color auto="1"/>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style="thin">
        <color auto="1"/>
      </left>
      <right/>
      <top style="thin">
        <color rgb="FFA6A6A6"/>
      </top>
      <bottom style="medium">
        <color auto="1"/>
      </bottom>
      <diagonal/>
    </border>
  </borders>
  <cellStyleXfs count="286">
    <xf numFmtId="0" fontId="0" fillId="0" borderId="0"/>
    <xf numFmtId="43" fontId="5" fillId="0" borderId="0" applyFont="0" applyFill="0" applyBorder="0" applyAlignment="0" applyProtection="0"/>
    <xf numFmtId="9" fontId="5" fillId="0" borderId="0" applyFon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4" fillId="0" borderId="0" applyNumberFormat="0" applyFill="0" applyBorder="0" applyAlignment="0" applyProtection="0"/>
    <xf numFmtId="0" fontId="10" fillId="0" borderId="0" applyNumberFormat="0" applyFill="0" applyBorder="0" applyAlignment="0" applyProtection="0"/>
    <xf numFmtId="44" fontId="5" fillId="0" borderId="0" applyFon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cellStyleXfs>
  <cellXfs count="303">
    <xf numFmtId="0" fontId="0" fillId="0" borderId="0" xfId="0"/>
    <xf numFmtId="3" fontId="0" fillId="0" borderId="0" xfId="0" applyNumberFormat="1"/>
    <xf numFmtId="1" fontId="0" fillId="0" borderId="0" xfId="0" applyNumberFormat="1"/>
    <xf numFmtId="0" fontId="8" fillId="0" borderId="0" xfId="0" applyFont="1"/>
    <xf numFmtId="0" fontId="12" fillId="0" borderId="0" xfId="0" applyFont="1"/>
    <xf numFmtId="0" fontId="0" fillId="2" borderId="4" xfId="0" applyFont="1" applyFill="1" applyBorder="1" applyAlignment="1">
      <alignment vertical="center" wrapText="1"/>
    </xf>
    <xf numFmtId="49" fontId="0" fillId="2" borderId="4" xfId="0" applyNumberFormat="1" applyFont="1" applyFill="1" applyBorder="1" applyAlignment="1">
      <alignment vertical="center" wrapText="1"/>
    </xf>
    <xf numFmtId="0" fontId="14" fillId="2" borderId="4" xfId="11" applyFont="1" applyFill="1" applyBorder="1" applyAlignment="1">
      <alignment vertical="center" wrapText="1"/>
    </xf>
    <xf numFmtId="0" fontId="15" fillId="2" borderId="4" xfId="0" applyFont="1" applyFill="1" applyBorder="1" applyAlignment="1">
      <alignment vertical="center" wrapText="1"/>
    </xf>
    <xf numFmtId="49" fontId="15" fillId="2" borderId="4" xfId="0" applyNumberFormat="1" applyFont="1" applyFill="1" applyBorder="1" applyAlignment="1">
      <alignment vertical="center" wrapText="1"/>
    </xf>
    <xf numFmtId="0" fontId="16" fillId="2" borderId="3" xfId="0" applyFont="1" applyFill="1" applyBorder="1" applyAlignment="1">
      <alignment wrapText="1"/>
    </xf>
    <xf numFmtId="0" fontId="0" fillId="2" borderId="3" xfId="0" applyFont="1" applyFill="1" applyBorder="1" applyAlignment="1">
      <alignment wrapText="1"/>
    </xf>
    <xf numFmtId="49" fontId="0" fillId="2" borderId="3" xfId="0" applyNumberFormat="1" applyFont="1" applyFill="1" applyBorder="1" applyAlignment="1">
      <alignment wrapText="1"/>
    </xf>
    <xf numFmtId="0" fontId="18" fillId="2" borderId="4" xfId="0" applyFont="1" applyFill="1" applyBorder="1" applyAlignment="1">
      <alignment vertical="center" wrapText="1"/>
    </xf>
    <xf numFmtId="0" fontId="16" fillId="2" borderId="4" xfId="0" applyFont="1" applyFill="1" applyBorder="1" applyAlignment="1">
      <alignment vertical="center" wrapText="1"/>
    </xf>
    <xf numFmtId="49" fontId="16" fillId="2" borderId="4" xfId="0" applyNumberFormat="1" applyFont="1" applyFill="1" applyBorder="1" applyAlignment="1">
      <alignment vertical="center" wrapText="1"/>
    </xf>
    <xf numFmtId="0" fontId="3" fillId="2" borderId="4" xfId="0" applyFont="1" applyFill="1" applyBorder="1" applyAlignment="1">
      <alignment vertical="center" wrapText="1"/>
    </xf>
    <xf numFmtId="0" fontId="17" fillId="2" borderId="8" xfId="11" applyFont="1" applyFill="1" applyBorder="1" applyAlignment="1">
      <alignment wrapText="1"/>
    </xf>
    <xf numFmtId="0" fontId="14" fillId="2" borderId="9" xfId="11" applyFill="1" applyBorder="1" applyAlignment="1">
      <alignment vertical="center" wrapText="1"/>
    </xf>
    <xf numFmtId="0" fontId="19" fillId="2" borderId="9" xfId="11" applyFont="1" applyFill="1" applyBorder="1" applyAlignment="1">
      <alignment vertical="center" wrapText="1"/>
    </xf>
    <xf numFmtId="0" fontId="14" fillId="2" borderId="9" xfId="11" applyFont="1" applyFill="1" applyBorder="1" applyAlignment="1">
      <alignment vertical="center" wrapText="1"/>
    </xf>
    <xf numFmtId="0" fontId="17" fillId="2" borderId="9" xfId="11" applyFont="1" applyFill="1" applyBorder="1" applyAlignment="1">
      <alignment vertical="center" wrapText="1"/>
    </xf>
    <xf numFmtId="0" fontId="16" fillId="2" borderId="9" xfId="0" applyFont="1" applyFill="1" applyBorder="1" applyAlignment="1">
      <alignment vertical="center" wrapText="1"/>
    </xf>
    <xf numFmtId="0" fontId="0" fillId="2" borderId="9" xfId="0" applyFont="1" applyFill="1" applyBorder="1" applyAlignment="1">
      <alignment vertical="center" wrapText="1"/>
    </xf>
    <xf numFmtId="0" fontId="18" fillId="2" borderId="9" xfId="0" applyFont="1" applyFill="1" applyBorder="1" applyAlignment="1">
      <alignment vertical="center" wrapText="1"/>
    </xf>
    <xf numFmtId="0" fontId="15" fillId="3" borderId="4" xfId="0" applyFont="1" applyFill="1" applyBorder="1"/>
    <xf numFmtId="0" fontId="16" fillId="2" borderId="4" xfId="0" applyFont="1" applyFill="1" applyBorder="1"/>
    <xf numFmtId="0" fontId="20" fillId="0" borderId="0" xfId="0" applyFont="1"/>
    <xf numFmtId="0" fontId="21" fillId="0" borderId="0" xfId="0" applyFont="1"/>
    <xf numFmtId="0" fontId="0" fillId="0" borderId="12" xfId="0" applyBorder="1"/>
    <xf numFmtId="1" fontId="0" fillId="0" borderId="12" xfId="0" applyNumberFormat="1" applyBorder="1"/>
    <xf numFmtId="1" fontId="22" fillId="0" borderId="0" xfId="0" applyNumberFormat="1" applyFont="1"/>
    <xf numFmtId="0" fontId="22" fillId="0" borderId="0" xfId="0" applyFont="1"/>
    <xf numFmtId="0" fontId="22" fillId="0" borderId="12" xfId="0" applyFont="1" applyBorder="1"/>
    <xf numFmtId="0" fontId="23" fillId="0" borderId="0" xfId="0" applyFont="1"/>
    <xf numFmtId="0" fontId="0" fillId="0" borderId="12" xfId="0" applyFill="1" applyBorder="1"/>
    <xf numFmtId="0" fontId="24" fillId="0" borderId="12" xfId="0" applyFont="1" applyFill="1" applyBorder="1"/>
    <xf numFmtId="0" fontId="24" fillId="0" borderId="0" xfId="0" applyFont="1"/>
    <xf numFmtId="0" fontId="25" fillId="2" borderId="4" xfId="0" applyFont="1" applyFill="1" applyBorder="1" applyAlignment="1">
      <alignment vertical="center" wrapText="1"/>
    </xf>
    <xf numFmtId="0" fontId="0" fillId="0" borderId="0" xfId="0" applyFont="1"/>
    <xf numFmtId="0" fontId="0" fillId="0" borderId="0" xfId="0" applyFill="1"/>
    <xf numFmtId="0" fontId="0" fillId="0" borderId="13" xfId="0" applyBorder="1"/>
    <xf numFmtId="0" fontId="0" fillId="0" borderId="15" xfId="0" applyBorder="1"/>
    <xf numFmtId="0" fontId="0" fillId="0" borderId="14" xfId="0" applyBorder="1"/>
    <xf numFmtId="0" fontId="26" fillId="0" borderId="0" xfId="0" applyFont="1"/>
    <xf numFmtId="0" fontId="27" fillId="0" borderId="12" xfId="0" applyFont="1" applyBorder="1"/>
    <xf numFmtId="0" fontId="27" fillId="0" borderId="0" xfId="0" applyFont="1"/>
    <xf numFmtId="0" fontId="28" fillId="0" borderId="0" xfId="0" applyFont="1"/>
    <xf numFmtId="0" fontId="0" fillId="2" borderId="0" xfId="0" applyFont="1" applyFill="1" applyBorder="1" applyAlignment="1">
      <alignment vertical="center" wrapText="1"/>
    </xf>
    <xf numFmtId="0" fontId="29" fillId="0" borderId="0" xfId="0" applyFont="1"/>
    <xf numFmtId="0" fontId="30" fillId="0" borderId="0" xfId="0" applyFont="1"/>
    <xf numFmtId="0" fontId="31" fillId="0" borderId="0" xfId="0" applyFont="1"/>
    <xf numFmtId="0" fontId="11" fillId="0" borderId="0" xfId="0" applyFont="1"/>
    <xf numFmtId="0" fontId="32" fillId="0" borderId="0" xfId="0" applyFont="1"/>
    <xf numFmtId="0" fontId="33" fillId="0" borderId="0" xfId="0" applyFont="1"/>
    <xf numFmtId="0" fontId="24" fillId="0" borderId="0" xfId="0" applyFont="1" applyFill="1"/>
    <xf numFmtId="0" fontId="34" fillId="0" borderId="12" xfId="0" applyFont="1" applyBorder="1"/>
    <xf numFmtId="166" fontId="34" fillId="0" borderId="12" xfId="0" applyNumberFormat="1" applyFont="1" applyBorder="1"/>
    <xf numFmtId="1" fontId="34" fillId="0" borderId="12" xfId="0" applyNumberFormat="1" applyFont="1" applyBorder="1"/>
    <xf numFmtId="0" fontId="34" fillId="0" borderId="0" xfId="0" applyFont="1"/>
    <xf numFmtId="0" fontId="11" fillId="0" borderId="12" xfId="0" applyFont="1" applyBorder="1"/>
    <xf numFmtId="0" fontId="35" fillId="0" borderId="0" xfId="0" applyFont="1"/>
    <xf numFmtId="0" fontId="36" fillId="0" borderId="0" xfId="0" applyFont="1"/>
    <xf numFmtId="0" fontId="37" fillId="0" borderId="0" xfId="0" applyFont="1"/>
    <xf numFmtId="0" fontId="38" fillId="0" borderId="0" xfId="0" applyFont="1"/>
    <xf numFmtId="0" fontId="12" fillId="0" borderId="13" xfId="0" applyFont="1" applyBorder="1"/>
    <xf numFmtId="0" fontId="0" fillId="0" borderId="1" xfId="0" applyBorder="1"/>
    <xf numFmtId="1" fontId="0" fillId="0" borderId="18" xfId="0" applyNumberFormat="1" applyBorder="1"/>
    <xf numFmtId="0" fontId="0" fillId="4" borderId="0" xfId="0" applyFill="1"/>
    <xf numFmtId="0" fontId="0" fillId="5" borderId="3" xfId="0" applyFont="1" applyFill="1" applyBorder="1"/>
    <xf numFmtId="0" fontId="0" fillId="5" borderId="4" xfId="0" applyFont="1" applyFill="1" applyBorder="1"/>
    <xf numFmtId="0" fontId="15" fillId="6" borderId="4" xfId="0" applyFont="1" applyFill="1" applyBorder="1"/>
    <xf numFmtId="0" fontId="0" fillId="7" borderId="3" xfId="0" applyFont="1" applyFill="1" applyBorder="1"/>
    <xf numFmtId="0" fontId="0" fillId="7" borderId="4" xfId="0" applyFont="1" applyFill="1" applyBorder="1"/>
    <xf numFmtId="0" fontId="15" fillId="7" borderId="4" xfId="0" applyFont="1" applyFill="1" applyBorder="1"/>
    <xf numFmtId="164" fontId="0" fillId="0" borderId="0" xfId="1" applyNumberFormat="1" applyFont="1"/>
    <xf numFmtId="0" fontId="28" fillId="0" borderId="0" xfId="0" applyFont="1" applyFill="1"/>
    <xf numFmtId="0" fontId="0" fillId="4" borderId="12" xfId="0" applyFill="1" applyBorder="1"/>
    <xf numFmtId="0" fontId="20" fillId="0" borderId="0" xfId="0" applyFont="1" applyFill="1"/>
    <xf numFmtId="0" fontId="22" fillId="4" borderId="0" xfId="0" applyFont="1" applyFill="1"/>
    <xf numFmtId="0" fontId="39" fillId="0" borderId="0" xfId="0" applyFont="1"/>
    <xf numFmtId="0" fontId="40" fillId="0" borderId="0" xfId="0" applyFont="1"/>
    <xf numFmtId="0" fontId="22" fillId="0" borderId="0" xfId="0" applyFont="1" applyFill="1"/>
    <xf numFmtId="0" fontId="40" fillId="4" borderId="0" xfId="0" applyFont="1" applyFill="1"/>
    <xf numFmtId="0" fontId="40" fillId="0" borderId="0" xfId="0" applyFont="1" applyFill="1"/>
    <xf numFmtId="0" fontId="22" fillId="4" borderId="12" xfId="0" applyFont="1" applyFill="1" applyBorder="1"/>
    <xf numFmtId="0" fontId="23" fillId="4" borderId="12" xfId="0" applyFont="1" applyFill="1" applyBorder="1"/>
    <xf numFmtId="166" fontId="23" fillId="0" borderId="12" xfId="0" applyNumberFormat="1" applyFont="1" applyBorder="1"/>
    <xf numFmtId="0" fontId="23" fillId="0" borderId="12" xfId="0" applyFont="1" applyBorder="1"/>
    <xf numFmtId="0" fontId="28" fillId="0" borderId="12" xfId="0" applyFont="1" applyBorder="1"/>
    <xf numFmtId="0" fontId="28" fillId="4" borderId="0" xfId="0" applyFont="1" applyFill="1"/>
    <xf numFmtId="0" fontId="22" fillId="0" borderId="12" xfId="0" applyFont="1" applyFill="1" applyBorder="1"/>
    <xf numFmtId="164" fontId="0" fillId="0" borderId="15" xfId="1" applyNumberFormat="1" applyFont="1" applyBorder="1"/>
    <xf numFmtId="164" fontId="24" fillId="0" borderId="0" xfId="1" applyNumberFormat="1" applyFont="1"/>
    <xf numFmtId="164" fontId="23" fillId="0" borderId="0" xfId="1" applyNumberFormat="1" applyFont="1"/>
    <xf numFmtId="164" fontId="0" fillId="0" borderId="13" xfId="1" applyNumberFormat="1" applyFont="1" applyBorder="1"/>
    <xf numFmtId="164" fontId="0" fillId="0" borderId="0" xfId="1" applyNumberFormat="1" applyFont="1" applyFill="1"/>
    <xf numFmtId="166" fontId="0" fillId="0" borderId="0" xfId="0" applyNumberFormat="1"/>
    <xf numFmtId="0" fontId="0" fillId="0" borderId="22" xfId="0" applyBorder="1"/>
    <xf numFmtId="44" fontId="0" fillId="0" borderId="12" xfId="13" applyFont="1" applyBorder="1"/>
    <xf numFmtId="44" fontId="0" fillId="0" borderId="14" xfId="13" applyFont="1" applyBorder="1"/>
    <xf numFmtId="6" fontId="0" fillId="0" borderId="12" xfId="13" applyNumberFormat="1" applyFont="1" applyBorder="1"/>
    <xf numFmtId="8" fontId="0" fillId="0" borderId="12" xfId="13" applyNumberFormat="1" applyFont="1" applyBorder="1"/>
    <xf numFmtId="0" fontId="0" fillId="0" borderId="0" xfId="0" applyBorder="1"/>
    <xf numFmtId="0" fontId="16" fillId="2" borderId="0" xfId="0" applyFont="1" applyFill="1" applyBorder="1" applyAlignment="1">
      <alignment vertical="center" wrapText="1"/>
    </xf>
    <xf numFmtId="0" fontId="12" fillId="0" borderId="0" xfId="0" applyFont="1" applyBorder="1"/>
    <xf numFmtId="0" fontId="22" fillId="0" borderId="0" xfId="0" applyFont="1" applyBorder="1"/>
    <xf numFmtId="164" fontId="0" fillId="0" borderId="0" xfId="1" applyNumberFormat="1" applyFont="1" applyBorder="1"/>
    <xf numFmtId="0" fontId="0" fillId="2" borderId="0" xfId="0" applyFill="1" applyBorder="1" applyAlignment="1">
      <alignment vertical="center"/>
    </xf>
    <xf numFmtId="0" fontId="16" fillId="2" borderId="0" xfId="0" applyFont="1" applyFill="1" applyBorder="1" applyAlignment="1">
      <alignment wrapText="1"/>
    </xf>
    <xf numFmtId="0" fontId="16" fillId="2" borderId="0" xfId="0" applyFont="1" applyFill="1" applyBorder="1"/>
    <xf numFmtId="44" fontId="0" fillId="0" borderId="0" xfId="13" applyFont="1" applyBorder="1"/>
    <xf numFmtId="44" fontId="0" fillId="0" borderId="0" xfId="13" applyFont="1"/>
    <xf numFmtId="44" fontId="0" fillId="4" borderId="0" xfId="13" applyFont="1" applyFill="1"/>
    <xf numFmtId="44" fontId="0" fillId="0" borderId="13" xfId="13" applyFont="1" applyBorder="1"/>
    <xf numFmtId="44" fontId="0" fillId="4" borderId="0" xfId="0" applyNumberFormat="1" applyFill="1"/>
    <xf numFmtId="0" fontId="12" fillId="0" borderId="12" xfId="0" applyFont="1" applyBorder="1"/>
    <xf numFmtId="0" fontId="0" fillId="0" borderId="11" xfId="0" applyBorder="1"/>
    <xf numFmtId="164" fontId="12" fillId="0" borderId="0" xfId="1" applyNumberFormat="1" applyFont="1"/>
    <xf numFmtId="1" fontId="0" fillId="0" borderId="0" xfId="0" applyNumberFormat="1" applyBorder="1"/>
    <xf numFmtId="1" fontId="0" fillId="4" borderId="0" xfId="0" applyNumberFormat="1" applyFill="1" applyBorder="1"/>
    <xf numFmtId="0" fontId="41" fillId="4" borderId="0" xfId="0" applyFont="1" applyFill="1"/>
    <xf numFmtId="166" fontId="34" fillId="0" borderId="12" xfId="0" applyNumberFormat="1" applyFont="1" applyFill="1" applyBorder="1"/>
    <xf numFmtId="0" fontId="0" fillId="2" borderId="4" xfId="0" applyFont="1" applyFill="1" applyBorder="1" applyAlignment="1">
      <alignment vertical="top" wrapText="1"/>
    </xf>
    <xf numFmtId="1" fontId="22" fillId="0" borderId="12" xfId="0" applyNumberFormat="1" applyFont="1" applyBorder="1"/>
    <xf numFmtId="0" fontId="0" fillId="2" borderId="5" xfId="0" applyFont="1" applyFill="1" applyBorder="1" applyAlignment="1">
      <alignment vertical="center" wrapText="1"/>
    </xf>
    <xf numFmtId="49" fontId="15" fillId="3" borderId="4" xfId="0" applyNumberFormat="1" applyFont="1" applyFill="1" applyBorder="1"/>
    <xf numFmtId="49" fontId="0" fillId="2" borderId="5" xfId="0" applyNumberFormat="1" applyFont="1" applyFill="1" applyBorder="1" applyAlignment="1">
      <alignment vertical="center" wrapText="1"/>
    </xf>
    <xf numFmtId="0" fontId="15" fillId="2" borderId="0" xfId="0" applyFont="1" applyFill="1" applyBorder="1" applyAlignment="1">
      <alignment vertical="center" wrapText="1"/>
    </xf>
    <xf numFmtId="0" fontId="15" fillId="3" borderId="9" xfId="0" applyFont="1" applyFill="1" applyBorder="1"/>
    <xf numFmtId="0" fontId="14" fillId="2" borderId="10" xfId="11" applyFont="1" applyFill="1" applyBorder="1" applyAlignment="1">
      <alignment vertical="center" wrapText="1"/>
    </xf>
    <xf numFmtId="0" fontId="0" fillId="0" borderId="0" xfId="0" applyFill="1" applyBorder="1"/>
    <xf numFmtId="0" fontId="34" fillId="0" borderId="14" xfId="0" applyFont="1" applyBorder="1"/>
    <xf numFmtId="0" fontId="23" fillId="0" borderId="13" xfId="0" applyFont="1" applyBorder="1"/>
    <xf numFmtId="0" fontId="23" fillId="0" borderId="15" xfId="0" applyFont="1" applyBorder="1"/>
    <xf numFmtId="44" fontId="12" fillId="0" borderId="12" xfId="13" applyFont="1" applyBorder="1"/>
    <xf numFmtId="164" fontId="42" fillId="0" borderId="0" xfId="1" applyNumberFormat="1" applyFont="1" applyFill="1" applyBorder="1"/>
    <xf numFmtId="0" fontId="42" fillId="0" borderId="12" xfId="0" applyFont="1" applyFill="1" applyBorder="1"/>
    <xf numFmtId="0" fontId="21" fillId="0" borderId="12" xfId="0" applyFont="1" applyFill="1" applyBorder="1"/>
    <xf numFmtId="0" fontId="4" fillId="0" borderId="2" xfId="0" applyFont="1" applyFill="1" applyBorder="1"/>
    <xf numFmtId="0" fontId="43" fillId="0" borderId="0" xfId="0" applyFont="1"/>
    <xf numFmtId="0" fontId="44" fillId="0" borderId="0" xfId="0" applyFont="1"/>
    <xf numFmtId="0" fontId="43" fillId="0" borderId="0" xfId="0" applyFont="1" applyFill="1"/>
    <xf numFmtId="0" fontId="45" fillId="0" borderId="21" xfId="0" applyFont="1" applyBorder="1"/>
    <xf numFmtId="0" fontId="45" fillId="0" borderId="0" xfId="0" applyFont="1"/>
    <xf numFmtId="0" fontId="45" fillId="0" borderId="12" xfId="0" applyFont="1" applyBorder="1"/>
    <xf numFmtId="0" fontId="47" fillId="0" borderId="0" xfId="0" applyFont="1"/>
    <xf numFmtId="0" fontId="44" fillId="0" borderId="21" xfId="0" applyFont="1" applyBorder="1"/>
    <xf numFmtId="0" fontId="0" fillId="10" borderId="12" xfId="0" applyFill="1" applyBorder="1"/>
    <xf numFmtId="0" fontId="11" fillId="10" borderId="12" xfId="0" applyFont="1" applyFill="1" applyBorder="1"/>
    <xf numFmtId="0" fontId="23" fillId="10" borderId="12" xfId="0" applyFont="1" applyFill="1" applyBorder="1"/>
    <xf numFmtId="0" fontId="0" fillId="0" borderId="26" xfId="0" applyBorder="1"/>
    <xf numFmtId="0" fontId="47" fillId="0" borderId="28" xfId="0" applyFont="1" applyBorder="1"/>
    <xf numFmtId="0" fontId="47" fillId="0" borderId="12" xfId="0" applyFont="1" applyBorder="1"/>
    <xf numFmtId="0" fontId="48" fillId="0" borderId="21" xfId="0" applyFont="1" applyBorder="1"/>
    <xf numFmtId="0" fontId="49" fillId="0" borderId="21" xfId="0" applyFont="1" applyBorder="1"/>
    <xf numFmtId="0" fontId="44" fillId="0" borderId="12" xfId="0" applyFont="1" applyBorder="1"/>
    <xf numFmtId="0" fontId="0" fillId="0" borderId="26" xfId="0" applyFont="1" applyBorder="1"/>
    <xf numFmtId="0" fontId="50" fillId="0" borderId="0" xfId="0" applyFont="1"/>
    <xf numFmtId="0" fontId="51" fillId="2" borderId="6" xfId="0" applyFont="1" applyFill="1" applyBorder="1" applyAlignment="1">
      <alignment wrapText="1"/>
    </xf>
    <xf numFmtId="49" fontId="51" fillId="2" borderId="6" xfId="0" applyNumberFormat="1" applyFont="1" applyFill="1" applyBorder="1" applyAlignment="1">
      <alignment wrapText="1"/>
    </xf>
    <xf numFmtId="0" fontId="51" fillId="2" borderId="7" xfId="0" applyFont="1" applyFill="1" applyBorder="1" applyAlignment="1">
      <alignment wrapText="1"/>
    </xf>
    <xf numFmtId="0" fontId="52" fillId="0" borderId="0" xfId="0" applyFont="1"/>
    <xf numFmtId="0" fontId="53" fillId="0" borderId="11" xfId="0" applyFont="1" applyBorder="1"/>
    <xf numFmtId="0" fontId="56" fillId="0" borderId="11" xfId="0" applyFont="1" applyBorder="1"/>
    <xf numFmtId="0" fontId="57" fillId="0" borderId="11" xfId="0" applyFont="1" applyBorder="1"/>
    <xf numFmtId="0" fontId="58" fillId="0" borderId="11" xfId="0" applyFont="1" applyBorder="1"/>
    <xf numFmtId="0" fontId="59" fillId="0" borderId="11" xfId="0" applyFont="1" applyBorder="1"/>
    <xf numFmtId="0" fontId="60" fillId="0" borderId="0" xfId="0" applyFont="1"/>
    <xf numFmtId="0" fontId="61" fillId="0" borderId="11" xfId="0" applyFont="1" applyBorder="1"/>
    <xf numFmtId="0" fontId="62" fillId="0" borderId="11" xfId="0" applyFont="1" applyBorder="1"/>
    <xf numFmtId="0" fontId="63" fillId="0" borderId="11" xfId="0" applyFont="1" applyBorder="1"/>
    <xf numFmtId="0" fontId="55" fillId="0" borderId="11" xfId="0" applyFont="1" applyBorder="1"/>
    <xf numFmtId="0" fontId="64" fillId="0" borderId="2" xfId="0" applyFont="1" applyFill="1" applyBorder="1"/>
    <xf numFmtId="0" fontId="54" fillId="2" borderId="11" xfId="0" applyFont="1" applyFill="1" applyBorder="1"/>
    <xf numFmtId="0" fontId="65" fillId="8" borderId="25" xfId="0" applyFont="1" applyFill="1" applyBorder="1"/>
    <xf numFmtId="0" fontId="64" fillId="8" borderId="2" xfId="0" applyFont="1" applyFill="1" applyBorder="1"/>
    <xf numFmtId="0" fontId="54" fillId="8" borderId="11" xfId="0" applyFont="1" applyFill="1" applyBorder="1"/>
    <xf numFmtId="49" fontId="65" fillId="8" borderId="25" xfId="0" applyNumberFormat="1" applyFont="1" applyFill="1" applyBorder="1"/>
    <xf numFmtId="49" fontId="65" fillId="8" borderId="2" xfId="0" applyNumberFormat="1" applyFont="1" applyFill="1" applyBorder="1"/>
    <xf numFmtId="49" fontId="65" fillId="8" borderId="23" xfId="0" applyNumberFormat="1" applyFont="1" applyFill="1" applyBorder="1"/>
    <xf numFmtId="49" fontId="65" fillId="8" borderId="14" xfId="0" applyNumberFormat="1" applyFont="1" applyFill="1" applyBorder="1"/>
    <xf numFmtId="49" fontId="65" fillId="8" borderId="27" xfId="0" applyNumberFormat="1" applyFont="1" applyFill="1" applyBorder="1"/>
    <xf numFmtId="49" fontId="65" fillId="8" borderId="22" xfId="0" applyNumberFormat="1" applyFont="1" applyFill="1" applyBorder="1"/>
    <xf numFmtId="0" fontId="54" fillId="7" borderId="11" xfId="0" applyFont="1" applyFill="1" applyBorder="1"/>
    <xf numFmtId="0" fontId="64" fillId="9" borderId="14" xfId="0" applyFont="1" applyFill="1" applyBorder="1"/>
    <xf numFmtId="0" fontId="64" fillId="9" borderId="1" xfId="0" applyFont="1" applyFill="1" applyBorder="1"/>
    <xf numFmtId="0" fontId="64" fillId="9" borderId="24" xfId="0" applyFont="1" applyFill="1" applyBorder="1"/>
    <xf numFmtId="0" fontId="64" fillId="9" borderId="27" xfId="0" applyFont="1" applyFill="1" applyBorder="1"/>
    <xf numFmtId="0" fontId="64" fillId="9" borderId="22" xfId="0" applyFont="1" applyFill="1" applyBorder="1"/>
    <xf numFmtId="0" fontId="64" fillId="9" borderId="25" xfId="0" applyFont="1" applyFill="1" applyBorder="1"/>
    <xf numFmtId="0" fontId="64" fillId="9" borderId="2" xfId="0" applyFont="1" applyFill="1" applyBorder="1"/>
    <xf numFmtId="0" fontId="64" fillId="9" borderId="23" xfId="0" applyFont="1" applyFill="1" applyBorder="1"/>
    <xf numFmtId="0" fontId="64" fillId="9" borderId="28" xfId="0" applyFont="1" applyFill="1" applyBorder="1"/>
    <xf numFmtId="0" fontId="64" fillId="9" borderId="26" xfId="0" applyFont="1" applyFill="1" applyBorder="1"/>
    <xf numFmtId="0" fontId="2" fillId="0" borderId="0" xfId="0" applyFont="1"/>
    <xf numFmtId="0" fontId="53" fillId="0" borderId="0" xfId="0" applyFont="1" applyBorder="1"/>
    <xf numFmtId="0" fontId="48" fillId="0" borderId="30" xfId="0" applyFont="1" applyBorder="1"/>
    <xf numFmtId="0" fontId="48" fillId="0" borderId="30" xfId="0" applyFont="1" applyBorder="1" applyAlignment="1">
      <alignment wrapText="1"/>
    </xf>
    <xf numFmtId="0" fontId="6" fillId="0" borderId="31" xfId="0" applyFont="1" applyFill="1" applyBorder="1" applyAlignment="1">
      <alignment wrapText="1"/>
    </xf>
    <xf numFmtId="0" fontId="13" fillId="0" borderId="31" xfId="0" applyFont="1" applyBorder="1" applyAlignment="1">
      <alignment wrapText="1"/>
    </xf>
    <xf numFmtId="0" fontId="6" fillId="0" borderId="32" xfId="0" applyFont="1" applyFill="1" applyBorder="1" applyAlignment="1">
      <alignment wrapText="1"/>
    </xf>
    <xf numFmtId="0" fontId="13" fillId="0" borderId="30" xfId="0" applyFont="1" applyBorder="1" applyAlignment="1"/>
    <xf numFmtId="0" fontId="15" fillId="0" borderId="30" xfId="0" applyFont="1" applyBorder="1"/>
    <xf numFmtId="0" fontId="13" fillId="0" borderId="30" xfId="0" applyFont="1" applyBorder="1" applyAlignment="1">
      <alignment wrapText="1"/>
    </xf>
    <xf numFmtId="0" fontId="13" fillId="0" borderId="33" xfId="0" applyFont="1" applyBorder="1" applyAlignment="1"/>
    <xf numFmtId="0" fontId="6" fillId="0" borderId="33" xfId="0" applyFont="1" applyBorder="1" applyAlignment="1">
      <alignment wrapText="1"/>
    </xf>
    <xf numFmtId="0" fontId="6" fillId="0" borderId="30" xfId="0" applyFont="1" applyBorder="1" applyAlignment="1">
      <alignment wrapText="1"/>
    </xf>
    <xf numFmtId="0" fontId="13" fillId="10" borderId="33" xfId="0" applyFont="1" applyFill="1" applyBorder="1" applyAlignment="1">
      <alignment wrapText="1"/>
    </xf>
    <xf numFmtId="0" fontId="13" fillId="7" borderId="33" xfId="0" applyFont="1" applyFill="1" applyBorder="1" applyAlignment="1">
      <alignment wrapText="1"/>
    </xf>
    <xf numFmtId="0" fontId="13" fillId="5" borderId="33" xfId="0" applyFont="1" applyFill="1" applyBorder="1" applyAlignment="1">
      <alignment wrapText="1"/>
    </xf>
    <xf numFmtId="0" fontId="13" fillId="0" borderId="33" xfId="0" applyFont="1" applyBorder="1" applyAlignment="1">
      <alignment wrapText="1"/>
    </xf>
    <xf numFmtId="0" fontId="13" fillId="0" borderId="30" xfId="0" applyFont="1" applyBorder="1"/>
    <xf numFmtId="164" fontId="13" fillId="0" borderId="30" xfId="1" applyNumberFormat="1" applyFont="1" applyBorder="1" applyAlignment="1">
      <alignment wrapText="1"/>
    </xf>
    <xf numFmtId="0" fontId="13" fillId="0" borderId="33" xfId="0" applyFont="1" applyBorder="1"/>
    <xf numFmtId="0" fontId="6" fillId="0" borderId="34" xfId="0" applyFont="1" applyBorder="1" applyAlignment="1">
      <alignment wrapText="1"/>
    </xf>
    <xf numFmtId="0" fontId="6" fillId="0" borderId="33" xfId="0" applyFont="1" applyBorder="1"/>
    <xf numFmtId="0" fontId="15" fillId="0" borderId="33" xfId="0" applyFont="1" applyBorder="1"/>
    <xf numFmtId="0" fontId="2" fillId="0" borderId="30" xfId="0" applyFont="1" applyBorder="1"/>
    <xf numFmtId="0" fontId="48" fillId="0" borderId="33" xfId="0" applyFont="1" applyBorder="1"/>
    <xf numFmtId="0" fontId="16" fillId="2" borderId="4" xfId="0" applyFont="1" applyFill="1" applyBorder="1" applyAlignment="1">
      <alignment vertical="center"/>
    </xf>
    <xf numFmtId="0" fontId="21" fillId="0" borderId="0" xfId="0" applyFont="1" applyFill="1"/>
    <xf numFmtId="0" fontId="21" fillId="0" borderId="0" xfId="0" applyFont="1" applyFill="1" applyAlignment="1">
      <alignment horizontal="right"/>
    </xf>
    <xf numFmtId="1" fontId="21" fillId="0" borderId="0" xfId="0" applyNumberFormat="1" applyFont="1" applyFill="1"/>
    <xf numFmtId="165" fontId="21" fillId="0" borderId="12" xfId="1" applyNumberFormat="1" applyFont="1" applyFill="1" applyBorder="1"/>
    <xf numFmtId="165" fontId="21" fillId="0" borderId="12" xfId="0" applyNumberFormat="1" applyFont="1" applyFill="1" applyBorder="1"/>
    <xf numFmtId="0" fontId="21" fillId="0" borderId="0" xfId="0" applyFont="1" applyFill="1" applyBorder="1" applyAlignment="1">
      <alignment horizontal="right"/>
    </xf>
    <xf numFmtId="167" fontId="21" fillId="0" borderId="0" xfId="2" applyNumberFormat="1" applyFont="1"/>
    <xf numFmtId="0" fontId="67" fillId="2" borderId="9" xfId="0" applyFont="1" applyFill="1" applyBorder="1" applyAlignment="1">
      <alignment vertical="center" wrapText="1"/>
    </xf>
    <xf numFmtId="168" fontId="0" fillId="0" borderId="0" xfId="13" applyNumberFormat="1" applyFont="1" applyBorder="1"/>
    <xf numFmtId="44" fontId="0" fillId="0" borderId="0" xfId="0" applyNumberFormat="1"/>
    <xf numFmtId="44" fontId="0" fillId="4" borderId="0" xfId="13" applyFont="1" applyFill="1" applyBorder="1"/>
    <xf numFmtId="44" fontId="0" fillId="0" borderId="0" xfId="13" applyFont="1" applyFill="1"/>
    <xf numFmtId="0" fontId="52" fillId="0" borderId="0" xfId="0" applyFont="1" applyFill="1"/>
    <xf numFmtId="49" fontId="65" fillId="0" borderId="23" xfId="0" applyNumberFormat="1" applyFont="1" applyFill="1" applyBorder="1"/>
    <xf numFmtId="0" fontId="64" fillId="0" borderId="24" xfId="0" applyFont="1" applyFill="1" applyBorder="1"/>
    <xf numFmtId="0" fontId="64" fillId="0" borderId="23" xfId="0" applyFont="1" applyFill="1" applyBorder="1"/>
    <xf numFmtId="0" fontId="44" fillId="0" borderId="0" xfId="0" applyFont="1" applyFill="1"/>
    <xf numFmtId="0" fontId="13" fillId="0" borderId="30" xfId="0" applyFont="1" applyFill="1" applyBorder="1"/>
    <xf numFmtId="0" fontId="0" fillId="0" borderId="15" xfId="0" applyFill="1" applyBorder="1"/>
    <xf numFmtId="0" fontId="42" fillId="0" borderId="0" xfId="0" applyFont="1" applyFill="1"/>
    <xf numFmtId="0" fontId="42" fillId="0" borderId="0" xfId="0" applyFont="1" applyFill="1" applyAlignment="1">
      <alignment horizontal="right"/>
    </xf>
    <xf numFmtId="1" fontId="42" fillId="0" borderId="18" xfId="0" applyNumberFormat="1" applyFont="1" applyFill="1" applyBorder="1"/>
    <xf numFmtId="164" fontId="21" fillId="0" borderId="0" xfId="1" applyNumberFormat="1" applyFont="1" applyFill="1"/>
    <xf numFmtId="168" fontId="21" fillId="0" borderId="0" xfId="0" applyNumberFormat="1" applyFont="1" applyFill="1" applyBorder="1"/>
    <xf numFmtId="0" fontId="42" fillId="0" borderId="0" xfId="0" applyFont="1" applyFill="1" applyBorder="1" applyAlignment="1">
      <alignment horizontal="right"/>
    </xf>
    <xf numFmtId="0" fontId="42" fillId="0" borderId="0" xfId="0" applyFont="1" applyFill="1" applyBorder="1"/>
    <xf numFmtId="164" fontId="42" fillId="0" borderId="0" xfId="1" applyNumberFormat="1" applyFont="1" applyFill="1"/>
    <xf numFmtId="43" fontId="42" fillId="0" borderId="18" xfId="1" applyFont="1" applyFill="1" applyBorder="1"/>
    <xf numFmtId="164" fontId="42" fillId="0" borderId="12" xfId="1" applyNumberFormat="1" applyFont="1" applyFill="1" applyBorder="1"/>
    <xf numFmtId="165" fontId="42" fillId="0" borderId="0" xfId="1" applyNumberFormat="1" applyFont="1" applyFill="1" applyBorder="1"/>
    <xf numFmtId="0" fontId="21" fillId="0" borderId="0" xfId="0" applyFont="1" applyFill="1" applyBorder="1"/>
    <xf numFmtId="164" fontId="21" fillId="0" borderId="0" xfId="1" applyNumberFormat="1" applyFont="1" applyFill="1" applyBorder="1"/>
    <xf numFmtId="44" fontId="42" fillId="0" borderId="12" xfId="13" applyFont="1" applyFill="1" applyBorder="1"/>
    <xf numFmtId="44" fontId="42" fillId="0" borderId="0" xfId="13" applyFont="1" applyFill="1"/>
    <xf numFmtId="168" fontId="42" fillId="0" borderId="12" xfId="13" applyNumberFormat="1" applyFont="1" applyFill="1" applyBorder="1"/>
    <xf numFmtId="44" fontId="42" fillId="0" borderId="0" xfId="13" applyFont="1" applyFill="1" applyBorder="1"/>
    <xf numFmtId="0" fontId="21" fillId="0" borderId="18" xfId="0" applyFont="1" applyFill="1" applyBorder="1"/>
    <xf numFmtId="1" fontId="21" fillId="0" borderId="0" xfId="0" applyNumberFormat="1" applyFont="1" applyFill="1" applyBorder="1"/>
    <xf numFmtId="164" fontId="21" fillId="0" borderId="12" xfId="1" applyNumberFormat="1" applyFont="1" applyFill="1" applyBorder="1"/>
    <xf numFmtId="1" fontId="21" fillId="0" borderId="18" xfId="0" applyNumberFormat="1" applyFont="1" applyFill="1" applyBorder="1"/>
    <xf numFmtId="9" fontId="21" fillId="0" borderId="0" xfId="2" applyFont="1" applyFill="1"/>
    <xf numFmtId="9" fontId="21" fillId="0" borderId="12" xfId="0" applyNumberFormat="1" applyFont="1" applyFill="1" applyBorder="1"/>
    <xf numFmtId="0" fontId="7" fillId="0" borderId="0" xfId="0" applyFont="1" applyFill="1"/>
    <xf numFmtId="166" fontId="21" fillId="0" borderId="0" xfId="0" applyNumberFormat="1" applyFont="1" applyFill="1"/>
    <xf numFmtId="43" fontId="21" fillId="0" borderId="0" xfId="0" applyNumberFormat="1" applyFont="1" applyFill="1"/>
    <xf numFmtId="0" fontId="21" fillId="0" borderId="16" xfId="0" applyFont="1" applyFill="1" applyBorder="1" applyAlignment="1">
      <alignment horizontal="right"/>
    </xf>
    <xf numFmtId="0" fontId="21" fillId="0" borderId="17" xfId="0" applyFont="1" applyFill="1" applyBorder="1"/>
    <xf numFmtId="164" fontId="21" fillId="0" borderId="0" xfId="0" applyNumberFormat="1" applyFont="1" applyFill="1"/>
    <xf numFmtId="43" fontId="21" fillId="0" borderId="0" xfId="1" applyFont="1" applyFill="1"/>
    <xf numFmtId="165" fontId="21" fillId="0" borderId="0" xfId="1" applyNumberFormat="1" applyFont="1" applyFill="1"/>
    <xf numFmtId="165" fontId="21" fillId="0" borderId="0" xfId="0" applyNumberFormat="1" applyFont="1" applyFill="1"/>
    <xf numFmtId="165" fontId="21" fillId="0" borderId="0" xfId="0" applyNumberFormat="1" applyFont="1" applyFill="1" applyAlignment="1">
      <alignment horizontal="right"/>
    </xf>
    <xf numFmtId="168" fontId="21" fillId="0" borderId="0" xfId="0" applyNumberFormat="1" applyFont="1" applyFill="1"/>
    <xf numFmtId="37" fontId="21" fillId="0" borderId="0" xfId="0" applyNumberFormat="1" applyFont="1" applyFill="1"/>
    <xf numFmtId="167" fontId="21" fillId="0" borderId="0" xfId="2" applyNumberFormat="1" applyFont="1" applyFill="1"/>
    <xf numFmtId="9" fontId="21" fillId="0" borderId="0" xfId="2" applyNumberFormat="1" applyFont="1" applyFill="1"/>
    <xf numFmtId="0" fontId="21" fillId="0" borderId="19" xfId="0" applyFont="1" applyFill="1" applyBorder="1" applyAlignment="1">
      <alignment horizontal="right"/>
    </xf>
    <xf numFmtId="0" fontId="21" fillId="0" borderId="20" xfId="0" applyFont="1" applyFill="1" applyBorder="1"/>
    <xf numFmtId="0" fontId="52" fillId="8" borderId="0" xfId="0" applyFont="1" applyFill="1"/>
    <xf numFmtId="0" fontId="0" fillId="4" borderId="12" xfId="0" applyFont="1" applyFill="1" applyBorder="1"/>
    <xf numFmtId="43" fontId="42" fillId="0" borderId="0" xfId="1" applyFont="1" applyFill="1"/>
    <xf numFmtId="3" fontId="42" fillId="0" borderId="0" xfId="0" applyNumberFormat="1" applyFont="1" applyFill="1"/>
    <xf numFmtId="164" fontId="21" fillId="0" borderId="18" xfId="1" applyNumberFormat="1" applyFont="1" applyFill="1" applyBorder="1"/>
    <xf numFmtId="164" fontId="42" fillId="0" borderId="0" xfId="0" applyNumberFormat="1" applyFont="1" applyFill="1"/>
    <xf numFmtId="9" fontId="21" fillId="0" borderId="12" xfId="2" applyFont="1" applyFill="1" applyBorder="1"/>
    <xf numFmtId="10" fontId="21" fillId="0" borderId="0" xfId="2" applyNumberFormat="1" applyFont="1" applyFill="1"/>
    <xf numFmtId="1" fontId="21" fillId="0" borderId="12" xfId="0" applyNumberFormat="1" applyFont="1" applyFill="1" applyBorder="1"/>
    <xf numFmtId="1" fontId="21" fillId="0" borderId="0" xfId="2" applyNumberFormat="1" applyFont="1" applyFill="1"/>
    <xf numFmtId="0" fontId="52" fillId="4" borderId="19" xfId="0" applyFont="1" applyFill="1" applyBorder="1"/>
    <xf numFmtId="0" fontId="21" fillId="0" borderId="0" xfId="0" applyFont="1" applyFill="1" applyAlignment="1">
      <alignment horizontal="center"/>
    </xf>
    <xf numFmtId="0" fontId="51" fillId="0" borderId="29" xfId="0" applyFont="1" applyBorder="1"/>
    <xf numFmtId="0" fontId="21" fillId="0" borderId="0" xfId="0" applyFont="1" applyAlignment="1">
      <alignment horizontal="right"/>
    </xf>
    <xf numFmtId="164" fontId="42" fillId="0" borderId="0" xfId="1" applyNumberFormat="1" applyFont="1"/>
    <xf numFmtId="0" fontId="67" fillId="2" borderId="8" xfId="0" applyFont="1" applyFill="1" applyBorder="1" applyAlignment="1">
      <alignment wrapText="1"/>
    </xf>
    <xf numFmtId="0" fontId="67" fillId="3" borderId="9" xfId="0" applyFont="1" applyFill="1" applyBorder="1" applyAlignment="1">
      <alignment vertical="center" wrapText="1"/>
    </xf>
    <xf numFmtId="0" fontId="67" fillId="2" borderId="9" xfId="0" applyFont="1" applyFill="1" applyBorder="1"/>
    <xf numFmtId="0" fontId="67" fillId="3" borderId="8" xfId="0" applyFont="1" applyFill="1" applyBorder="1" applyAlignment="1">
      <alignment vertical="center" wrapText="1"/>
    </xf>
    <xf numFmtId="164" fontId="0" fillId="0" borderId="0" xfId="0" applyNumberFormat="1"/>
    <xf numFmtId="37" fontId="21" fillId="0" borderId="0" xfId="0" applyNumberFormat="1" applyFont="1" applyFill="1" applyAlignment="1">
      <alignment horizontal="center"/>
    </xf>
    <xf numFmtId="0" fontId="71" fillId="0" borderId="0" xfId="0" applyFont="1"/>
    <xf numFmtId="1" fontId="71" fillId="0" borderId="18" xfId="0" applyNumberFormat="1" applyFont="1" applyBorder="1"/>
    <xf numFmtId="1" fontId="72" fillId="0" borderId="0" xfId="0" applyNumberFormat="1" applyFont="1" applyFill="1"/>
  </cellXfs>
  <cellStyles count="286">
    <cellStyle name="Comma" xfId="1" builtinId="3"/>
    <cellStyle name="Currency" xfId="13" builtinId="4"/>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Hyperlink" xfId="3" builtinId="8" hidden="1"/>
    <cellStyle name="Hyperlink" xfId="5" builtinId="8" hidden="1"/>
    <cellStyle name="Hyperlink" xfId="7" builtinId="8" hidden="1"/>
    <cellStyle name="Hyperlink" xfId="9" builtinId="8" hidden="1"/>
    <cellStyle name="Hyperlink" xfId="11" builtinId="8"/>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Number of WRRF</a:t>
            </a:r>
            <a:r>
              <a:rPr lang="en-US" baseline="0"/>
              <a:t> Solids with Primary:WAS ratio in Range Shown</a:t>
            </a:r>
            <a:endParaRPr lang="en-US"/>
          </a:p>
        </c:rich>
      </c:tx>
      <c:layout>
        <c:manualLayout>
          <c:xMode val="edge"/>
          <c:yMode val="edge"/>
          <c:x val="0.124008530183727"/>
          <c:y val="0"/>
        </c:manualLayout>
      </c:layout>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'MASTER-MA Sludge Survy Analysis'!$BP$139:$BP$144</c:f>
              <c:strCache>
                <c:ptCount val="6"/>
                <c:pt idx="0">
                  <c:v>Primary &gt; 80%:</c:v>
                </c:pt>
                <c:pt idx="1">
                  <c:v>60%&lt;Primary&lt;80%:</c:v>
                </c:pt>
                <c:pt idx="2">
                  <c:v>50% &lt; Primary &lt; 60%:</c:v>
                </c:pt>
                <c:pt idx="3">
                  <c:v>40% &lt; Primary &lt; 50%:</c:v>
                </c:pt>
                <c:pt idx="4">
                  <c:v>20% &lt; Primary &lt; 40%:</c:v>
                </c:pt>
                <c:pt idx="5">
                  <c:v>0% &lt; Primary &lt; 20%:</c:v>
                </c:pt>
              </c:strCache>
            </c:strRef>
          </c:cat>
          <c:val>
            <c:numRef>
              <c:f>'MASTER-MA Sludge Survy Analysis'!$BQ$139:$BQ$144</c:f>
              <c:numCache>
                <c:formatCode>0</c:formatCode>
                <c:ptCount val="6"/>
                <c:pt idx="0" formatCode="General">
                  <c:v>3</c:v>
                </c:pt>
                <c:pt idx="1">
                  <c:v>18</c:v>
                </c:pt>
                <c:pt idx="2">
                  <c:v>15</c:v>
                </c:pt>
                <c:pt idx="3">
                  <c:v>9</c:v>
                </c:pt>
                <c:pt idx="4">
                  <c:v>2</c:v>
                </c:pt>
                <c:pt idx="5">
                  <c:v>3</c:v>
                </c:pt>
              </c:numCache>
            </c:numRef>
          </c:val>
          <c:extLst>
            <c:ext xmlns:c16="http://schemas.microsoft.com/office/drawing/2014/chart" uri="{C3380CC4-5D6E-409C-BE32-E72D297353CC}">
              <c16:uniqueId val="{00000000-A8BD-40BD-A05A-12E525E9C0E3}"/>
            </c:ext>
          </c:extLst>
        </c:ser>
        <c:dLbls>
          <c:showLegendKey val="0"/>
          <c:showVal val="1"/>
          <c:showCatName val="0"/>
          <c:showSerName val="0"/>
          <c:showPercent val="0"/>
          <c:showBubbleSize val="0"/>
        </c:dLbls>
        <c:gapWidth val="150"/>
        <c:axId val="2092534760"/>
        <c:axId val="2092537688"/>
      </c:barChart>
      <c:catAx>
        <c:axId val="2092534760"/>
        <c:scaling>
          <c:orientation val="minMax"/>
        </c:scaling>
        <c:delete val="0"/>
        <c:axPos val="b"/>
        <c:numFmt formatCode="General" sourceLinked="0"/>
        <c:majorTickMark val="out"/>
        <c:minorTickMark val="none"/>
        <c:tickLblPos val="nextTo"/>
        <c:crossAx val="2092537688"/>
        <c:crosses val="autoZero"/>
        <c:auto val="1"/>
        <c:lblAlgn val="ctr"/>
        <c:lblOffset val="100"/>
        <c:noMultiLvlLbl val="0"/>
      </c:catAx>
      <c:valAx>
        <c:axId val="2092537688"/>
        <c:scaling>
          <c:orientation val="minMax"/>
        </c:scaling>
        <c:delete val="0"/>
        <c:axPos val="l"/>
        <c:majorGridlines/>
        <c:numFmt formatCode="General" sourceLinked="1"/>
        <c:majorTickMark val="out"/>
        <c:minorTickMark val="none"/>
        <c:tickLblPos val="nextTo"/>
        <c:crossAx val="2092534760"/>
        <c:crosses val="autoZero"/>
        <c:crossBetween val="between"/>
      </c:valAx>
    </c:plotArea>
    <c:plotVisOnly val="1"/>
    <c:dispBlanksAs val="gap"/>
    <c:showDLblsOverMax val="0"/>
  </c:chart>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63</xdr:col>
      <xdr:colOff>279400</xdr:colOff>
      <xdr:row>147</xdr:row>
      <xdr:rowOff>139700</xdr:rowOff>
    </xdr:from>
    <xdr:to>
      <xdr:col>69</xdr:col>
      <xdr:colOff>444500</xdr:colOff>
      <xdr:row>163</xdr:row>
      <xdr:rowOff>38100</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U155"/>
  <sheetViews>
    <sheetView tabSelected="1" workbookViewId="0">
      <pane xSplit="1" ySplit="11" topLeftCell="B12" activePane="bottomRight" state="frozen"/>
      <selection activeCell="J1" sqref="J1"/>
      <selection pane="topRight" activeCell="K1" sqref="K1"/>
      <selection pane="bottomLeft" activeCell="J9" sqref="J9"/>
      <selection pane="bottomRight" activeCell="K4" sqref="K4"/>
    </sheetView>
  </sheetViews>
  <sheetFormatPr defaultColWidth="8.85546875" defaultRowHeight="15"/>
  <cols>
    <col min="1" max="1" width="34" customWidth="1"/>
    <col min="2" max="2" width="37.7109375" customWidth="1"/>
    <col min="3" max="3" width="23.7109375" customWidth="1"/>
    <col min="4" max="10" width="22.140625" customWidth="1"/>
    <col min="11" max="11" width="12.42578125" customWidth="1"/>
    <col min="12" max="13" width="11.42578125" customWidth="1"/>
    <col min="14" max="15" width="13.85546875" customWidth="1"/>
    <col min="16" max="16" width="15.140625" customWidth="1"/>
    <col min="17" max="17" width="16.85546875" customWidth="1"/>
    <col min="18" max="18" width="14.140625" customWidth="1"/>
    <col min="19" max="19" width="17.140625" customWidth="1"/>
    <col min="20" max="20" width="14.85546875" customWidth="1"/>
    <col min="21" max="21" width="13.42578125" customWidth="1"/>
    <col min="22" max="22" width="8.85546875" customWidth="1"/>
    <col min="23" max="23" width="12" customWidth="1"/>
    <col min="24" max="27" width="8.85546875" customWidth="1"/>
    <col min="28" max="28" width="14" customWidth="1"/>
    <col min="29" max="34" width="8.85546875" customWidth="1"/>
    <col min="35" max="35" width="12.140625" customWidth="1"/>
    <col min="36" max="36" width="12.85546875" customWidth="1"/>
    <col min="37" max="37" width="12.140625" customWidth="1"/>
    <col min="38" max="38" width="11.28515625" customWidth="1"/>
    <col min="39" max="40" width="11" customWidth="1"/>
    <col min="41" max="41" width="12.42578125" customWidth="1"/>
    <col min="42" max="42" width="13.85546875" customWidth="1"/>
    <col min="43" max="43" width="13" customWidth="1"/>
    <col min="44" max="45" width="13.85546875" customWidth="1"/>
    <col min="46" max="46" width="9.85546875" customWidth="1"/>
    <col min="47" max="47" width="10.28515625" customWidth="1"/>
    <col min="48" max="48" width="9.85546875" customWidth="1"/>
    <col min="49" max="50" width="9" customWidth="1"/>
    <col min="51" max="51" width="12.28515625" customWidth="1"/>
    <col min="52" max="55" width="8.85546875" customWidth="1"/>
    <col min="56" max="56" width="14.140625" customWidth="1"/>
    <col min="57" max="59" width="8.85546875" customWidth="1"/>
    <col min="60" max="60" width="9" customWidth="1"/>
    <col min="61" max="61" width="13.140625" customWidth="1"/>
    <col min="62" max="62" width="11.140625" customWidth="1"/>
    <col min="63" max="63" width="12.140625" customWidth="1"/>
    <col min="64" max="64" width="9" customWidth="1"/>
    <col min="65" max="65" width="13.140625" customWidth="1"/>
    <col min="66" max="67" width="9" customWidth="1"/>
    <col min="68" max="69" width="8.85546875" customWidth="1"/>
    <col min="70" max="70" width="10.28515625" customWidth="1"/>
    <col min="71" max="71" width="9.85546875" customWidth="1"/>
    <col min="72" max="72" width="10.42578125" customWidth="1"/>
    <col min="73" max="73" width="10.7109375" customWidth="1"/>
    <col min="74" max="74" width="12" customWidth="1"/>
    <col min="75" max="75" width="11.85546875" customWidth="1"/>
    <col min="76" max="76" width="10.85546875" customWidth="1"/>
    <col min="77" max="77" width="11" customWidth="1"/>
    <col min="78" max="79" width="10.28515625" customWidth="1"/>
    <col min="80" max="80" width="10.85546875" customWidth="1"/>
    <col min="81" max="101" width="8.85546875" customWidth="1"/>
    <col min="102" max="103" width="13.42578125" customWidth="1"/>
    <col min="104" max="104" width="14.140625" customWidth="1"/>
    <col min="105" max="112" width="8.85546875" customWidth="1"/>
    <col min="113" max="113" width="10.7109375" customWidth="1"/>
    <col min="114" max="114" width="13" customWidth="1"/>
    <col min="115" max="115" width="10.42578125" customWidth="1"/>
    <col min="116" max="116" width="12.28515625" customWidth="1"/>
    <col min="117" max="117" width="9.85546875" customWidth="1"/>
    <col min="118" max="118" width="10.85546875" customWidth="1"/>
    <col min="119" max="120" width="8.85546875" customWidth="1"/>
    <col min="121" max="121" width="11.28515625" customWidth="1"/>
    <col min="122" max="122" width="9" customWidth="1"/>
    <col min="123" max="125" width="8.85546875" customWidth="1"/>
    <col min="126" max="126" width="10" customWidth="1"/>
    <col min="127" max="134" width="8.85546875" customWidth="1"/>
    <col min="135" max="135" width="12.28515625" customWidth="1"/>
    <col min="136" max="136" width="10.7109375" customWidth="1"/>
    <col min="137" max="137" width="12.140625" customWidth="1"/>
    <col min="138" max="138" width="11.42578125" customWidth="1"/>
    <col min="139" max="139" width="10.140625" customWidth="1"/>
    <col min="140" max="140" width="11.7109375" customWidth="1"/>
    <col min="141" max="141" width="10.140625" customWidth="1"/>
    <col min="142" max="142" width="11.28515625" customWidth="1"/>
    <col min="143" max="143" width="11.42578125" customWidth="1"/>
    <col min="144" max="144" width="12.28515625" customWidth="1"/>
    <col min="145" max="145" width="13" customWidth="1"/>
    <col min="146" max="146" width="11.85546875" customWidth="1"/>
    <col min="147" max="147" width="14.28515625" customWidth="1"/>
    <col min="148" max="148" width="8.85546875" customWidth="1"/>
    <col min="149" max="150" width="14.140625" customWidth="1"/>
    <col min="151" max="151" width="15.7109375" customWidth="1"/>
    <col min="152" max="152" width="12.28515625" customWidth="1"/>
    <col min="153" max="153" width="11.28515625" customWidth="1"/>
    <col min="154" max="154" width="10" customWidth="1"/>
    <col min="155" max="155" width="9.85546875" customWidth="1"/>
    <col min="156" max="157" width="11.85546875" customWidth="1"/>
    <col min="158" max="158" width="13.7109375" customWidth="1"/>
    <col min="159" max="159" width="12.7109375" customWidth="1"/>
    <col min="160" max="160" width="17.42578125" customWidth="1"/>
    <col min="161" max="161" width="11" customWidth="1"/>
    <col min="162" max="162" width="11.28515625" customWidth="1"/>
    <col min="163" max="178" width="8.85546875" customWidth="1"/>
    <col min="179" max="179" width="8.85546875" style="40" customWidth="1"/>
    <col min="186" max="186" width="9.28515625" customWidth="1"/>
    <col min="190" max="190" width="16" customWidth="1"/>
  </cols>
  <sheetData>
    <row r="1" spans="1:203" ht="26.25">
      <c r="A1" s="158" t="s">
        <v>1337</v>
      </c>
      <c r="B1" s="49"/>
    </row>
    <row r="2" spans="1:203" ht="21">
      <c r="A2" s="49" t="s">
        <v>1238</v>
      </c>
      <c r="B2" s="49"/>
      <c r="EP2" s="230"/>
    </row>
    <row r="3" spans="1:203">
      <c r="A3" s="27" t="s">
        <v>1344</v>
      </c>
    </row>
    <row r="4" spans="1:203" s="162" customFormat="1" ht="21">
      <c r="A4" s="39" t="s">
        <v>1331</v>
      </c>
      <c r="D4" s="173"/>
      <c r="E4" s="173"/>
      <c r="F4" s="173"/>
      <c r="G4" s="173"/>
      <c r="H4" s="173"/>
      <c r="I4" s="173"/>
      <c r="J4" s="173"/>
      <c r="L4" s="140" t="s">
        <v>1338</v>
      </c>
      <c r="FW4" s="233"/>
    </row>
    <row r="5" spans="1:203" s="162" customFormat="1" ht="12">
      <c r="A5" s="162" t="s">
        <v>1332</v>
      </c>
      <c r="D5" s="173"/>
      <c r="E5" s="173"/>
      <c r="F5" s="173"/>
      <c r="G5" s="173"/>
      <c r="H5" s="173"/>
      <c r="I5" s="173"/>
      <c r="J5" s="173"/>
      <c r="L5" s="175" t="s">
        <v>1339</v>
      </c>
      <c r="M5" s="176"/>
      <c r="N5" s="176"/>
      <c r="O5" s="176"/>
      <c r="P5" s="176"/>
      <c r="Q5" s="176"/>
      <c r="R5" s="173"/>
      <c r="S5" s="173"/>
      <c r="T5" s="173"/>
      <c r="U5" s="173"/>
      <c r="V5" s="173"/>
      <c r="W5" s="173"/>
      <c r="X5" s="173"/>
      <c r="Y5" s="173"/>
      <c r="Z5" s="173"/>
      <c r="AA5" s="173"/>
      <c r="AB5" s="173"/>
      <c r="AC5" s="173"/>
      <c r="AD5" s="173"/>
      <c r="AE5" s="173"/>
      <c r="AF5" s="173"/>
      <c r="AG5" s="173"/>
      <c r="AH5" s="173"/>
      <c r="AI5" s="173"/>
      <c r="AJ5" s="173"/>
      <c r="AK5" s="173"/>
      <c r="AL5" s="173"/>
      <c r="AM5" s="173"/>
      <c r="AN5" s="173"/>
      <c r="AO5" s="173"/>
      <c r="AP5" s="173"/>
      <c r="AQ5" s="173"/>
      <c r="AR5" s="173"/>
      <c r="AS5" s="173"/>
      <c r="AT5" s="173"/>
      <c r="AU5" s="173"/>
      <c r="AV5" s="173"/>
      <c r="AW5" s="173"/>
      <c r="AX5" s="173"/>
      <c r="AY5" s="173"/>
      <c r="AZ5" s="173"/>
      <c r="BA5" s="173"/>
      <c r="BB5" s="173"/>
      <c r="BC5" s="173"/>
      <c r="BD5" s="173"/>
      <c r="BE5" s="173"/>
      <c r="BF5" s="173"/>
      <c r="BG5" s="173"/>
      <c r="BH5" s="173"/>
      <c r="BI5" s="173"/>
      <c r="BJ5" s="173"/>
      <c r="BK5" s="173"/>
      <c r="BL5" s="173"/>
      <c r="BM5" s="173"/>
      <c r="BN5" s="173"/>
      <c r="BO5" s="173"/>
      <c r="BP5" s="173"/>
      <c r="BQ5" s="173"/>
      <c r="BR5" s="173"/>
      <c r="BS5" s="173"/>
      <c r="BT5" s="173"/>
      <c r="BU5" s="173"/>
      <c r="BV5" s="173"/>
      <c r="BW5" s="173"/>
      <c r="BX5" s="173"/>
      <c r="BY5" s="173"/>
      <c r="BZ5" s="173"/>
      <c r="CA5" s="173"/>
      <c r="CB5" s="173"/>
      <c r="CC5" s="173"/>
      <c r="CD5" s="173"/>
      <c r="CE5" s="173"/>
      <c r="CF5" s="173"/>
      <c r="CG5" s="173"/>
      <c r="CH5" s="173"/>
      <c r="CI5" s="173"/>
      <c r="CJ5" s="173"/>
      <c r="CK5" s="173"/>
      <c r="CL5" s="173"/>
      <c r="CM5" s="173"/>
      <c r="CN5" s="173"/>
      <c r="CO5" s="173"/>
      <c r="CP5" s="173"/>
      <c r="CQ5" s="173"/>
      <c r="CR5" s="173"/>
      <c r="CS5" s="173"/>
      <c r="CT5" s="173"/>
      <c r="CU5" s="173"/>
      <c r="CV5" s="173"/>
      <c r="CW5" s="173"/>
      <c r="CX5" s="173"/>
      <c r="CY5" s="173"/>
      <c r="CZ5" s="173"/>
      <c r="DA5" s="173"/>
      <c r="DB5" s="173"/>
      <c r="DC5" s="173"/>
      <c r="DD5" s="173"/>
      <c r="DE5" s="173"/>
      <c r="DF5" s="173"/>
      <c r="DG5" s="173"/>
      <c r="DH5" s="173"/>
      <c r="DI5" s="173"/>
      <c r="DJ5" s="173"/>
      <c r="DK5" s="173"/>
      <c r="DL5" s="173"/>
      <c r="DM5" s="173"/>
      <c r="DN5" s="173"/>
      <c r="DO5" s="173"/>
      <c r="DP5" s="173"/>
      <c r="DQ5" s="173"/>
      <c r="DR5" s="173"/>
      <c r="DS5" s="173"/>
      <c r="DT5" s="173"/>
      <c r="DU5" s="173"/>
      <c r="DV5" s="173"/>
      <c r="DW5" s="173"/>
      <c r="DX5" s="173"/>
      <c r="DY5" s="173"/>
      <c r="DZ5" s="173"/>
      <c r="EA5" s="173"/>
      <c r="EB5" s="173"/>
      <c r="EC5" s="173"/>
      <c r="ED5" s="173"/>
      <c r="EE5" s="173"/>
      <c r="EF5" s="173"/>
      <c r="EG5" s="173"/>
      <c r="EH5" s="173"/>
      <c r="EI5" s="173"/>
      <c r="EJ5" s="173"/>
      <c r="EK5" s="173"/>
      <c r="EL5" s="173"/>
      <c r="EM5" s="173"/>
      <c r="EN5" s="173"/>
      <c r="EO5" s="173"/>
      <c r="EP5" s="173"/>
      <c r="EQ5" s="173"/>
      <c r="ER5" s="173"/>
      <c r="ES5" s="173"/>
      <c r="ET5" s="173"/>
      <c r="EU5" s="173"/>
      <c r="EV5" s="173"/>
      <c r="EW5" s="173"/>
      <c r="EX5" s="173"/>
      <c r="EY5" s="173"/>
      <c r="EZ5" s="173"/>
      <c r="FA5" s="173"/>
      <c r="FB5" s="173"/>
      <c r="FC5" s="173"/>
      <c r="FD5" s="173"/>
      <c r="FE5" s="173"/>
      <c r="FF5" s="173"/>
      <c r="FG5" s="173"/>
      <c r="FH5" s="173"/>
      <c r="FI5" s="173"/>
      <c r="FJ5" s="173"/>
      <c r="FK5" s="173"/>
      <c r="FL5" s="173"/>
      <c r="FM5" s="173"/>
      <c r="FN5" s="173"/>
      <c r="FO5" s="173"/>
      <c r="FP5" s="173"/>
      <c r="FQ5" s="173"/>
      <c r="FR5" s="173"/>
      <c r="FS5" s="173"/>
      <c r="FT5" s="173"/>
      <c r="FU5" s="173"/>
      <c r="FV5" s="173"/>
      <c r="FW5" s="173"/>
      <c r="FX5" s="173"/>
      <c r="FY5" s="173"/>
      <c r="FZ5" s="173"/>
      <c r="GA5" s="173"/>
      <c r="GB5" s="173"/>
      <c r="GC5" s="173"/>
      <c r="GD5" s="173"/>
      <c r="GE5" s="173"/>
      <c r="GF5" s="173"/>
      <c r="GG5" s="173"/>
      <c r="GH5" s="173"/>
      <c r="GI5" s="173"/>
    </row>
    <row r="6" spans="1:203" s="162" customFormat="1" ht="12">
      <c r="D6" s="173"/>
      <c r="E6" s="173"/>
      <c r="F6" s="173"/>
      <c r="G6" s="173"/>
      <c r="H6" s="173"/>
      <c r="I6" s="173"/>
      <c r="J6" s="173"/>
      <c r="L6" s="178" t="s">
        <v>1240</v>
      </c>
      <c r="M6" s="179" t="s">
        <v>1239</v>
      </c>
      <c r="N6" s="179" t="s">
        <v>1241</v>
      </c>
      <c r="O6" s="179" t="s">
        <v>1242</v>
      </c>
      <c r="P6" s="179" t="s">
        <v>1243</v>
      </c>
      <c r="Q6" s="180" t="s">
        <v>1244</v>
      </c>
      <c r="R6" s="181" t="s">
        <v>1246</v>
      </c>
      <c r="S6" s="179"/>
      <c r="T6" s="179"/>
      <c r="U6" s="179" t="s">
        <v>1247</v>
      </c>
      <c r="V6" s="179"/>
      <c r="W6" s="179"/>
      <c r="X6" s="179" t="s">
        <v>1248</v>
      </c>
      <c r="Y6" s="179"/>
      <c r="Z6" s="179"/>
      <c r="AA6" s="179"/>
      <c r="AB6" s="180" t="s">
        <v>1249</v>
      </c>
      <c r="AC6" s="181" t="s">
        <v>1250</v>
      </c>
      <c r="AD6" s="179"/>
      <c r="AE6" s="179"/>
      <c r="AF6" s="179"/>
      <c r="AG6" s="179"/>
      <c r="AH6" s="180"/>
      <c r="AI6" s="181" t="s">
        <v>1251</v>
      </c>
      <c r="AJ6" s="179"/>
      <c r="AK6" s="179"/>
      <c r="AL6" s="179"/>
      <c r="AM6" s="179"/>
      <c r="AN6" s="179"/>
      <c r="AO6" s="179"/>
      <c r="AP6" s="179" t="s">
        <v>1252</v>
      </c>
      <c r="AQ6" s="179"/>
      <c r="AR6" s="179"/>
      <c r="AS6" s="180"/>
      <c r="AT6" s="181" t="s">
        <v>1253</v>
      </c>
      <c r="AU6" s="179"/>
      <c r="AV6" s="179"/>
      <c r="AW6" s="179"/>
      <c r="AX6" s="179"/>
      <c r="AY6" s="179"/>
      <c r="AZ6" s="180" t="s">
        <v>1254</v>
      </c>
      <c r="BA6" s="181" t="s">
        <v>1255</v>
      </c>
      <c r="BB6" s="179"/>
      <c r="BC6" s="179"/>
      <c r="BD6" s="180" t="s">
        <v>1256</v>
      </c>
      <c r="BE6" s="181" t="s">
        <v>1257</v>
      </c>
      <c r="BF6" s="179"/>
      <c r="BG6" s="179"/>
      <c r="BH6" s="179" t="s">
        <v>1258</v>
      </c>
      <c r="BI6" s="179"/>
      <c r="BJ6" s="179"/>
      <c r="BK6" s="179"/>
      <c r="BL6" s="179"/>
      <c r="BM6" s="179"/>
      <c r="BN6" s="179"/>
      <c r="BO6" s="179"/>
      <c r="BP6" s="180" t="s">
        <v>1259</v>
      </c>
      <c r="BQ6" s="182" t="s">
        <v>1260</v>
      </c>
      <c r="BR6" s="181" t="s">
        <v>1261</v>
      </c>
      <c r="BS6" s="179"/>
      <c r="BT6" s="179"/>
      <c r="BU6" s="179"/>
      <c r="BV6" s="179"/>
      <c r="BW6" s="179"/>
      <c r="BX6" s="179"/>
      <c r="BY6" s="179"/>
      <c r="BZ6" s="179"/>
      <c r="CA6" s="179"/>
      <c r="CB6" s="180"/>
      <c r="CC6" s="181" t="s">
        <v>1262</v>
      </c>
      <c r="CD6" s="179"/>
      <c r="CE6" s="179"/>
      <c r="CF6" s="179"/>
      <c r="CG6" s="179"/>
      <c r="CH6" s="179"/>
      <c r="CI6" s="179"/>
      <c r="CJ6" s="179"/>
      <c r="CK6" s="179"/>
      <c r="CL6" s="179"/>
      <c r="CM6" s="179"/>
      <c r="CN6" s="179"/>
      <c r="CO6" s="179"/>
      <c r="CP6" s="179"/>
      <c r="CQ6" s="179"/>
      <c r="CR6" s="179"/>
      <c r="CS6" s="179"/>
      <c r="CT6" s="179"/>
      <c r="CU6" s="179"/>
      <c r="CV6" s="179"/>
      <c r="CW6" s="180"/>
      <c r="CX6" s="181" t="s">
        <v>1263</v>
      </c>
      <c r="CY6" s="179"/>
      <c r="CZ6" s="180"/>
      <c r="DA6" s="181" t="s">
        <v>1264</v>
      </c>
      <c r="DB6" s="179" t="s">
        <v>1265</v>
      </c>
      <c r="DC6" s="180"/>
      <c r="DD6" s="181" t="s">
        <v>1266</v>
      </c>
      <c r="DE6" s="179"/>
      <c r="DF6" s="179"/>
      <c r="DG6" s="180"/>
      <c r="DH6" s="181" t="s">
        <v>1267</v>
      </c>
      <c r="DI6" s="179"/>
      <c r="DJ6" s="179"/>
      <c r="DK6" s="179"/>
      <c r="DL6" s="179"/>
      <c r="DM6" s="179"/>
      <c r="DN6" s="179"/>
      <c r="DO6" s="179"/>
      <c r="DP6" s="179"/>
      <c r="DQ6" s="179"/>
      <c r="DR6" s="180"/>
      <c r="DS6" s="181" t="s">
        <v>1268</v>
      </c>
      <c r="DT6" s="179"/>
      <c r="DU6" s="179"/>
      <c r="DV6" s="179"/>
      <c r="DW6" s="179"/>
      <c r="DX6" s="179"/>
      <c r="DY6" s="179"/>
      <c r="DZ6" s="179"/>
      <c r="EA6" s="179"/>
      <c r="EB6" s="179"/>
      <c r="EC6" s="179"/>
      <c r="ED6" s="180" t="s">
        <v>1269</v>
      </c>
      <c r="EE6" s="181" t="s">
        <v>1270</v>
      </c>
      <c r="EF6" s="179"/>
      <c r="EG6" s="179"/>
      <c r="EH6" s="179"/>
      <c r="EI6" s="179"/>
      <c r="EJ6" s="179"/>
      <c r="EK6" s="180"/>
      <c r="EL6" s="181" t="s">
        <v>1271</v>
      </c>
      <c r="EM6" s="179"/>
      <c r="EN6" s="179"/>
      <c r="EO6" s="179"/>
      <c r="EP6" s="179"/>
      <c r="EQ6" s="179"/>
      <c r="ER6" s="180"/>
      <c r="ES6" s="181" t="s">
        <v>1272</v>
      </c>
      <c r="ET6" s="179"/>
      <c r="EU6" s="180" t="s">
        <v>1273</v>
      </c>
      <c r="EV6" s="181" t="s">
        <v>1274</v>
      </c>
      <c r="EW6" s="180" t="s">
        <v>1275</v>
      </c>
      <c r="EX6" s="181" t="s">
        <v>1276</v>
      </c>
      <c r="EY6" s="179"/>
      <c r="EZ6" s="179"/>
      <c r="FA6" s="179"/>
      <c r="FB6" s="179"/>
      <c r="FC6" s="179"/>
      <c r="FD6" s="179"/>
      <c r="FE6" s="179"/>
      <c r="FF6" s="179"/>
      <c r="FG6" s="179"/>
      <c r="FH6" s="180" t="s">
        <v>1277</v>
      </c>
      <c r="FI6" s="181" t="s">
        <v>1278</v>
      </c>
      <c r="FJ6" s="179"/>
      <c r="FK6" s="180"/>
      <c r="FL6" s="181" t="s">
        <v>1279</v>
      </c>
      <c r="FM6" s="179"/>
      <c r="FN6" s="179"/>
      <c r="FO6" s="179"/>
      <c r="FP6" s="179"/>
      <c r="FQ6" s="180"/>
      <c r="FR6" s="181" t="s">
        <v>1280</v>
      </c>
      <c r="FS6" s="179"/>
      <c r="FT6" s="179"/>
      <c r="FU6" s="179"/>
      <c r="FV6" s="179"/>
      <c r="FW6" s="234"/>
      <c r="FX6" s="181" t="s">
        <v>1281</v>
      </c>
      <c r="FY6" s="179"/>
      <c r="FZ6" s="179"/>
      <c r="GA6" s="179"/>
      <c r="GB6" s="179"/>
      <c r="GC6" s="180"/>
      <c r="GD6" s="183" t="s">
        <v>1282</v>
      </c>
      <c r="GE6" s="181" t="s">
        <v>1283</v>
      </c>
      <c r="GF6" s="179" t="s">
        <v>1284</v>
      </c>
      <c r="GG6" s="179"/>
      <c r="GH6" s="180"/>
      <c r="GI6" s="181" t="s">
        <v>1285</v>
      </c>
      <c r="GJ6" s="279"/>
      <c r="GK6" s="279"/>
      <c r="GL6" s="279"/>
      <c r="GM6" s="279"/>
      <c r="GN6" s="279"/>
      <c r="GO6" s="279"/>
      <c r="GP6" s="279"/>
      <c r="GQ6" s="279"/>
      <c r="GR6" s="279"/>
      <c r="GS6" s="279"/>
      <c r="GT6" s="279"/>
      <c r="GU6" s="279"/>
    </row>
    <row r="7" spans="1:203" s="162" customFormat="1" ht="12">
      <c r="D7" s="173"/>
      <c r="E7" s="173"/>
      <c r="F7" s="173"/>
      <c r="G7" s="173"/>
      <c r="H7" s="173"/>
      <c r="I7" s="173"/>
      <c r="J7" s="173"/>
      <c r="L7" s="185" t="s">
        <v>0</v>
      </c>
      <c r="M7" s="186"/>
      <c r="N7" s="186" t="s">
        <v>1</v>
      </c>
      <c r="O7" s="186"/>
      <c r="P7" s="186" t="s">
        <v>2</v>
      </c>
      <c r="Q7" s="187"/>
      <c r="R7" s="185" t="s">
        <v>3</v>
      </c>
      <c r="S7" s="186"/>
      <c r="T7" s="186"/>
      <c r="U7" s="186" t="s">
        <v>4</v>
      </c>
      <c r="V7" s="186"/>
      <c r="W7" s="186"/>
      <c r="X7" s="186" t="s">
        <v>5</v>
      </c>
      <c r="Y7" s="186"/>
      <c r="Z7" s="186"/>
      <c r="AA7" s="186"/>
      <c r="AB7" s="187" t="s">
        <v>6</v>
      </c>
      <c r="AC7" s="185" t="s">
        <v>7</v>
      </c>
      <c r="AD7" s="186"/>
      <c r="AE7" s="186"/>
      <c r="AF7" s="186"/>
      <c r="AG7" s="186"/>
      <c r="AH7" s="187"/>
      <c r="AI7" s="185" t="s">
        <v>8</v>
      </c>
      <c r="AJ7" s="186"/>
      <c r="AK7" s="186"/>
      <c r="AL7" s="186"/>
      <c r="AM7" s="186"/>
      <c r="AN7" s="186"/>
      <c r="AO7" s="186"/>
      <c r="AP7" s="186" t="s">
        <v>9</v>
      </c>
      <c r="AQ7" s="186"/>
      <c r="AR7" s="186"/>
      <c r="AS7" s="187"/>
      <c r="AT7" s="185" t="s">
        <v>10</v>
      </c>
      <c r="AU7" s="186"/>
      <c r="AV7" s="186"/>
      <c r="AW7" s="186"/>
      <c r="AX7" s="186"/>
      <c r="AY7" s="186"/>
      <c r="AZ7" s="187" t="s">
        <v>6</v>
      </c>
      <c r="BA7" s="185" t="s">
        <v>11</v>
      </c>
      <c r="BB7" s="186"/>
      <c r="BC7" s="186"/>
      <c r="BD7" s="187" t="s">
        <v>12</v>
      </c>
      <c r="BE7" s="185" t="s">
        <v>13</v>
      </c>
      <c r="BF7" s="186"/>
      <c r="BG7" s="186"/>
      <c r="BH7" s="186" t="s">
        <v>14</v>
      </c>
      <c r="BI7" s="186"/>
      <c r="BJ7" s="186"/>
      <c r="BK7" s="186"/>
      <c r="BL7" s="186"/>
      <c r="BM7" s="186"/>
      <c r="BN7" s="186"/>
      <c r="BO7" s="186"/>
      <c r="BP7" s="187" t="s">
        <v>6</v>
      </c>
      <c r="BQ7" s="188" t="s">
        <v>15</v>
      </c>
      <c r="BR7" s="185" t="s">
        <v>16</v>
      </c>
      <c r="BS7" s="186"/>
      <c r="BT7" s="186"/>
      <c r="BU7" s="186"/>
      <c r="BV7" s="186"/>
      <c r="BW7" s="186"/>
      <c r="BX7" s="186"/>
      <c r="BY7" s="186"/>
      <c r="BZ7" s="186"/>
      <c r="CA7" s="186"/>
      <c r="CB7" s="187"/>
      <c r="CC7" s="185" t="s">
        <v>17</v>
      </c>
      <c r="CD7" s="186"/>
      <c r="CE7" s="186"/>
      <c r="CF7" s="186"/>
      <c r="CG7" s="186"/>
      <c r="CH7" s="186"/>
      <c r="CI7" s="186"/>
      <c r="CJ7" s="186"/>
      <c r="CK7" s="186"/>
      <c r="CL7" s="186"/>
      <c r="CM7" s="186"/>
      <c r="CN7" s="186"/>
      <c r="CO7" s="186"/>
      <c r="CP7" s="186"/>
      <c r="CQ7" s="186"/>
      <c r="CR7" s="186"/>
      <c r="CS7" s="186"/>
      <c r="CT7" s="186"/>
      <c r="CU7" s="186"/>
      <c r="CV7" s="186"/>
      <c r="CW7" s="187"/>
      <c r="CX7" s="185" t="s">
        <v>18</v>
      </c>
      <c r="CY7" s="186"/>
      <c r="CZ7" s="187"/>
      <c r="DA7" s="185" t="s">
        <v>19</v>
      </c>
      <c r="DB7" s="186"/>
      <c r="DC7" s="187"/>
      <c r="DD7" s="185" t="s">
        <v>20</v>
      </c>
      <c r="DE7" s="186"/>
      <c r="DF7" s="186"/>
      <c r="DG7" s="187"/>
      <c r="DH7" s="185" t="s">
        <v>21</v>
      </c>
      <c r="DI7" s="186"/>
      <c r="DJ7" s="186"/>
      <c r="DK7" s="186"/>
      <c r="DL7" s="186"/>
      <c r="DM7" s="186"/>
      <c r="DN7" s="186"/>
      <c r="DO7" s="186"/>
      <c r="DP7" s="186"/>
      <c r="DQ7" s="186"/>
      <c r="DR7" s="187"/>
      <c r="DS7" s="185" t="s">
        <v>22</v>
      </c>
      <c r="DT7" s="186"/>
      <c r="DU7" s="186"/>
      <c r="DV7" s="186"/>
      <c r="DW7" s="186"/>
      <c r="DX7" s="186"/>
      <c r="DY7" s="186"/>
      <c r="DZ7" s="186"/>
      <c r="EA7" s="186"/>
      <c r="EB7" s="186"/>
      <c r="EC7" s="186"/>
      <c r="ED7" s="187" t="s">
        <v>6</v>
      </c>
      <c r="EE7" s="185" t="s">
        <v>23</v>
      </c>
      <c r="EF7" s="186"/>
      <c r="EG7" s="186"/>
      <c r="EH7" s="186"/>
      <c r="EI7" s="186"/>
      <c r="EJ7" s="186"/>
      <c r="EK7" s="187"/>
      <c r="EL7" s="185" t="s">
        <v>24</v>
      </c>
      <c r="EM7" s="186"/>
      <c r="EN7" s="186"/>
      <c r="EO7" s="186"/>
      <c r="EP7" s="186"/>
      <c r="EQ7" s="186"/>
      <c r="ER7" s="187"/>
      <c r="ES7" s="185" t="s">
        <v>25</v>
      </c>
      <c r="ET7" s="186"/>
      <c r="EU7" s="187" t="s">
        <v>6</v>
      </c>
      <c r="EV7" s="185" t="s">
        <v>26</v>
      </c>
      <c r="EW7" s="187" t="s">
        <v>27</v>
      </c>
      <c r="EX7" s="185" t="s">
        <v>28</v>
      </c>
      <c r="EY7" s="186"/>
      <c r="EZ7" s="186"/>
      <c r="FA7" s="186"/>
      <c r="FB7" s="186"/>
      <c r="FC7" s="186"/>
      <c r="FD7" s="186"/>
      <c r="FE7" s="186"/>
      <c r="FF7" s="186"/>
      <c r="FG7" s="186"/>
      <c r="FH7" s="187" t="s">
        <v>29</v>
      </c>
      <c r="FI7" s="185" t="s">
        <v>30</v>
      </c>
      <c r="FJ7" s="186"/>
      <c r="FK7" s="187"/>
      <c r="FL7" s="185" t="s">
        <v>31</v>
      </c>
      <c r="FM7" s="186"/>
      <c r="FN7" s="186"/>
      <c r="FO7" s="186"/>
      <c r="FP7" s="186"/>
      <c r="FQ7" s="187"/>
      <c r="FR7" s="185" t="s">
        <v>32</v>
      </c>
      <c r="FS7" s="186"/>
      <c r="FT7" s="186"/>
      <c r="FU7" s="186"/>
      <c r="FV7" s="186"/>
      <c r="FW7" s="235"/>
      <c r="FX7" s="185" t="s">
        <v>33</v>
      </c>
      <c r="FY7" s="186"/>
      <c r="FZ7" s="186"/>
      <c r="GA7" s="186"/>
      <c r="GB7" s="186"/>
      <c r="GC7" s="187"/>
      <c r="GD7" s="189" t="s">
        <v>6</v>
      </c>
      <c r="GE7" s="185" t="s">
        <v>34</v>
      </c>
      <c r="GF7" s="186" t="s">
        <v>35</v>
      </c>
      <c r="GG7" s="186"/>
      <c r="GH7" s="187"/>
      <c r="GI7" s="185" t="s">
        <v>36</v>
      </c>
      <c r="GJ7" s="279"/>
      <c r="GK7" s="279"/>
      <c r="GL7" s="279"/>
      <c r="GM7" s="279"/>
      <c r="GN7" s="279"/>
      <c r="GO7" s="279"/>
      <c r="GP7" s="279"/>
      <c r="GQ7" s="279"/>
      <c r="GR7" s="279"/>
      <c r="GS7" s="279"/>
      <c r="GT7" s="279"/>
      <c r="GU7" s="279"/>
    </row>
    <row r="8" spans="1:203" s="162" customFormat="1" ht="12">
      <c r="D8" s="173"/>
      <c r="E8" s="173"/>
      <c r="F8" s="173"/>
      <c r="G8" s="173"/>
      <c r="H8" s="173"/>
      <c r="I8" s="173"/>
      <c r="J8" s="173"/>
      <c r="L8" s="190"/>
      <c r="M8" s="191"/>
      <c r="N8" s="191"/>
      <c r="O8" s="191"/>
      <c r="P8" s="191" t="s">
        <v>37</v>
      </c>
      <c r="Q8" s="192"/>
      <c r="R8" s="190" t="s">
        <v>38</v>
      </c>
      <c r="S8" s="191" t="s">
        <v>39</v>
      </c>
      <c r="T8" s="191" t="s">
        <v>40</v>
      </c>
      <c r="U8" s="191" t="s">
        <v>38</v>
      </c>
      <c r="V8" s="191" t="s">
        <v>39</v>
      </c>
      <c r="W8" s="191" t="s">
        <v>41</v>
      </c>
      <c r="X8" s="191" t="s">
        <v>38</v>
      </c>
      <c r="Y8" s="191" t="s">
        <v>39</v>
      </c>
      <c r="Z8" s="191" t="s">
        <v>42</v>
      </c>
      <c r="AA8" s="191" t="s">
        <v>43</v>
      </c>
      <c r="AB8" s="192" t="s">
        <v>37</v>
      </c>
      <c r="AC8" s="190" t="s">
        <v>44</v>
      </c>
      <c r="AD8" s="191" t="s">
        <v>45</v>
      </c>
      <c r="AE8" s="191" t="s">
        <v>46</v>
      </c>
      <c r="AF8" s="191" t="s">
        <v>47</v>
      </c>
      <c r="AG8" s="191" t="s">
        <v>48</v>
      </c>
      <c r="AH8" s="192" t="s">
        <v>49</v>
      </c>
      <c r="AI8" s="190" t="s">
        <v>50</v>
      </c>
      <c r="AJ8" s="191"/>
      <c r="AK8" s="191" t="s">
        <v>51</v>
      </c>
      <c r="AL8" s="191" t="s">
        <v>52</v>
      </c>
      <c r="AM8" s="191" t="s">
        <v>53</v>
      </c>
      <c r="AN8" s="191" t="s">
        <v>54</v>
      </c>
      <c r="AO8" s="191" t="s">
        <v>55</v>
      </c>
      <c r="AP8" s="191" t="s">
        <v>37</v>
      </c>
      <c r="AQ8" s="191"/>
      <c r="AR8" s="191"/>
      <c r="AS8" s="192"/>
      <c r="AT8" s="190" t="s">
        <v>56</v>
      </c>
      <c r="AU8" s="191" t="s">
        <v>57</v>
      </c>
      <c r="AV8" s="191" t="s">
        <v>58</v>
      </c>
      <c r="AW8" s="191" t="s">
        <v>59</v>
      </c>
      <c r="AX8" s="191" t="s">
        <v>60</v>
      </c>
      <c r="AY8" s="191" t="s">
        <v>61</v>
      </c>
      <c r="AZ8" s="192" t="s">
        <v>37</v>
      </c>
      <c r="BA8" s="190" t="s">
        <v>38</v>
      </c>
      <c r="BB8" s="191" t="s">
        <v>39</v>
      </c>
      <c r="BC8" s="191" t="s">
        <v>62</v>
      </c>
      <c r="BD8" s="192" t="s">
        <v>37</v>
      </c>
      <c r="BE8" s="190" t="s">
        <v>38</v>
      </c>
      <c r="BF8" s="191" t="s">
        <v>39</v>
      </c>
      <c r="BG8" s="191" t="s">
        <v>62</v>
      </c>
      <c r="BH8" s="191" t="s">
        <v>63</v>
      </c>
      <c r="BI8" s="191" t="s">
        <v>64</v>
      </c>
      <c r="BJ8" s="191" t="s">
        <v>65</v>
      </c>
      <c r="BK8" s="191" t="s">
        <v>66</v>
      </c>
      <c r="BL8" s="191" t="s">
        <v>67</v>
      </c>
      <c r="BM8" s="191" t="s">
        <v>68</v>
      </c>
      <c r="BN8" s="191" t="s">
        <v>69</v>
      </c>
      <c r="BO8" s="191" t="s">
        <v>70</v>
      </c>
      <c r="BP8" s="192" t="s">
        <v>37</v>
      </c>
      <c r="BQ8" s="193" t="s">
        <v>37</v>
      </c>
      <c r="BR8" s="190" t="s">
        <v>71</v>
      </c>
      <c r="BS8" s="191" t="s">
        <v>72</v>
      </c>
      <c r="BT8" s="191" t="s">
        <v>73</v>
      </c>
      <c r="BU8" s="191" t="s">
        <v>74</v>
      </c>
      <c r="BV8" s="191" t="s">
        <v>75</v>
      </c>
      <c r="BW8" s="191" t="s">
        <v>76</v>
      </c>
      <c r="BX8" s="191" t="s">
        <v>77</v>
      </c>
      <c r="BY8" s="191" t="s">
        <v>78</v>
      </c>
      <c r="BZ8" s="191" t="s">
        <v>79</v>
      </c>
      <c r="CA8" s="191" t="s">
        <v>80</v>
      </c>
      <c r="CB8" s="192" t="s">
        <v>81</v>
      </c>
      <c r="CC8" s="190" t="s">
        <v>82</v>
      </c>
      <c r="CD8" s="191" t="s">
        <v>83</v>
      </c>
      <c r="CE8" s="191" t="s">
        <v>84</v>
      </c>
      <c r="CF8" s="191" t="s">
        <v>85</v>
      </c>
      <c r="CG8" s="191" t="s">
        <v>86</v>
      </c>
      <c r="CH8" s="191" t="s">
        <v>87</v>
      </c>
      <c r="CI8" s="191" t="s">
        <v>88</v>
      </c>
      <c r="CJ8" s="191" t="s">
        <v>89</v>
      </c>
      <c r="CK8" s="191" t="s">
        <v>90</v>
      </c>
      <c r="CL8" s="191" t="s">
        <v>91</v>
      </c>
      <c r="CM8" s="191" t="s">
        <v>92</v>
      </c>
      <c r="CN8" s="191" t="s">
        <v>93</v>
      </c>
      <c r="CO8" s="191" t="s">
        <v>94</v>
      </c>
      <c r="CP8" s="191" t="s">
        <v>95</v>
      </c>
      <c r="CQ8" s="191" t="s">
        <v>96</v>
      </c>
      <c r="CR8" s="191" t="s">
        <v>97</v>
      </c>
      <c r="CS8" s="191" t="s">
        <v>98</v>
      </c>
      <c r="CT8" s="191" t="s">
        <v>99</v>
      </c>
      <c r="CU8" s="191" t="s">
        <v>100</v>
      </c>
      <c r="CV8" s="191" t="s">
        <v>101</v>
      </c>
      <c r="CW8" s="192" t="s">
        <v>102</v>
      </c>
      <c r="CX8" s="190" t="s">
        <v>103</v>
      </c>
      <c r="CY8" s="191" t="s">
        <v>104</v>
      </c>
      <c r="CZ8" s="192" t="s">
        <v>105</v>
      </c>
      <c r="DA8" s="190" t="s">
        <v>106</v>
      </c>
      <c r="DB8" s="191" t="s">
        <v>107</v>
      </c>
      <c r="DC8" s="192" t="s">
        <v>43</v>
      </c>
      <c r="DD8" s="190" t="s">
        <v>108</v>
      </c>
      <c r="DE8" s="191" t="s">
        <v>109</v>
      </c>
      <c r="DF8" s="191" t="s">
        <v>110</v>
      </c>
      <c r="DG8" s="192" t="s">
        <v>111</v>
      </c>
      <c r="DH8" s="190" t="s">
        <v>112</v>
      </c>
      <c r="DI8" s="191" t="s">
        <v>113</v>
      </c>
      <c r="DJ8" s="191" t="s">
        <v>114</v>
      </c>
      <c r="DK8" s="191" t="s">
        <v>115</v>
      </c>
      <c r="DL8" s="191" t="s">
        <v>116</v>
      </c>
      <c r="DM8" s="191" t="s">
        <v>117</v>
      </c>
      <c r="DN8" s="191" t="s">
        <v>118</v>
      </c>
      <c r="DO8" s="191" t="s">
        <v>119</v>
      </c>
      <c r="DP8" s="191" t="s">
        <v>120</v>
      </c>
      <c r="DQ8" s="191" t="s">
        <v>121</v>
      </c>
      <c r="DR8" s="192" t="s">
        <v>122</v>
      </c>
      <c r="DS8" s="190" t="s">
        <v>123</v>
      </c>
      <c r="DT8" s="191" t="s">
        <v>124</v>
      </c>
      <c r="DU8" s="191" t="s">
        <v>125</v>
      </c>
      <c r="DV8" s="191" t="s">
        <v>126</v>
      </c>
      <c r="DW8" s="191" t="s">
        <v>127</v>
      </c>
      <c r="DX8" s="191" t="s">
        <v>128</v>
      </c>
      <c r="DY8" s="191" t="s">
        <v>129</v>
      </c>
      <c r="DZ8" s="191" t="s">
        <v>130</v>
      </c>
      <c r="EA8" s="191" t="s">
        <v>131</v>
      </c>
      <c r="EB8" s="191" t="s">
        <v>132</v>
      </c>
      <c r="EC8" s="191" t="s">
        <v>133</v>
      </c>
      <c r="ED8" s="192" t="s">
        <v>37</v>
      </c>
      <c r="EE8" s="190" t="s">
        <v>134</v>
      </c>
      <c r="EF8" s="191" t="s">
        <v>135</v>
      </c>
      <c r="EG8" s="191" t="s">
        <v>136</v>
      </c>
      <c r="EH8" s="191" t="s">
        <v>137</v>
      </c>
      <c r="EI8" s="191" t="s">
        <v>138</v>
      </c>
      <c r="EJ8" s="191" t="s">
        <v>139</v>
      </c>
      <c r="EK8" s="192" t="s">
        <v>140</v>
      </c>
      <c r="EL8" s="190" t="s">
        <v>134</v>
      </c>
      <c r="EM8" s="191" t="s">
        <v>135</v>
      </c>
      <c r="EN8" s="191" t="s">
        <v>136</v>
      </c>
      <c r="EO8" s="191" t="s">
        <v>137</v>
      </c>
      <c r="EP8" s="191" t="s">
        <v>138</v>
      </c>
      <c r="EQ8" s="191" t="s">
        <v>139</v>
      </c>
      <c r="ER8" s="192" t="s">
        <v>140</v>
      </c>
      <c r="ES8" s="190" t="s">
        <v>37</v>
      </c>
      <c r="ET8" s="191"/>
      <c r="EU8" s="192" t="s">
        <v>37</v>
      </c>
      <c r="EV8" s="190" t="s">
        <v>37</v>
      </c>
      <c r="EW8" s="192" t="s">
        <v>37</v>
      </c>
      <c r="EX8" s="190" t="s">
        <v>141</v>
      </c>
      <c r="EY8" s="191" t="s">
        <v>142</v>
      </c>
      <c r="EZ8" s="191" t="s">
        <v>143</v>
      </c>
      <c r="FA8" s="191" t="s">
        <v>144</v>
      </c>
      <c r="FB8" s="191" t="s">
        <v>145</v>
      </c>
      <c r="FC8" s="191" t="s">
        <v>146</v>
      </c>
      <c r="FD8" s="191" t="s">
        <v>147</v>
      </c>
      <c r="FE8" s="191" t="s">
        <v>148</v>
      </c>
      <c r="FF8" s="191" t="s">
        <v>149</v>
      </c>
      <c r="FG8" s="191" t="s">
        <v>150</v>
      </c>
      <c r="FH8" s="192" t="s">
        <v>37</v>
      </c>
      <c r="FI8" s="190" t="s">
        <v>38</v>
      </c>
      <c r="FJ8" s="191" t="s">
        <v>39</v>
      </c>
      <c r="FK8" s="192" t="s">
        <v>151</v>
      </c>
      <c r="FL8" s="190" t="s">
        <v>152</v>
      </c>
      <c r="FM8" s="191" t="s">
        <v>153</v>
      </c>
      <c r="FN8" s="191" t="s">
        <v>154</v>
      </c>
      <c r="FO8" s="191" t="s">
        <v>155</v>
      </c>
      <c r="FP8" s="191" t="s">
        <v>156</v>
      </c>
      <c r="FQ8" s="192" t="s">
        <v>157</v>
      </c>
      <c r="FR8" s="190" t="s">
        <v>158</v>
      </c>
      <c r="FS8" s="191" t="s">
        <v>159</v>
      </c>
      <c r="FT8" s="191" t="s">
        <v>160</v>
      </c>
      <c r="FU8" s="191" t="s">
        <v>161</v>
      </c>
      <c r="FV8" s="191" t="s">
        <v>162</v>
      </c>
      <c r="FW8" s="236" t="s">
        <v>157</v>
      </c>
      <c r="FX8" s="190" t="s">
        <v>158</v>
      </c>
      <c r="FY8" s="191" t="s">
        <v>159</v>
      </c>
      <c r="FZ8" s="191" t="s">
        <v>160</v>
      </c>
      <c r="GA8" s="191" t="s">
        <v>161</v>
      </c>
      <c r="GB8" s="191" t="s">
        <v>162</v>
      </c>
      <c r="GC8" s="192" t="s">
        <v>157</v>
      </c>
      <c r="GD8" s="194" t="s">
        <v>37</v>
      </c>
      <c r="GE8" s="190" t="s">
        <v>163</v>
      </c>
      <c r="GF8" s="191" t="s">
        <v>164</v>
      </c>
      <c r="GG8" s="191" t="s">
        <v>165</v>
      </c>
      <c r="GH8" s="192" t="s">
        <v>166</v>
      </c>
      <c r="GI8" s="190" t="s">
        <v>37</v>
      </c>
      <c r="GJ8" s="279"/>
      <c r="GK8" s="279"/>
      <c r="GL8" s="279"/>
      <c r="GM8" s="279"/>
      <c r="GN8" s="279"/>
      <c r="GO8" s="279"/>
      <c r="GP8" s="279"/>
      <c r="GQ8" s="279"/>
      <c r="GR8" s="279"/>
      <c r="GS8" s="279"/>
      <c r="GT8" s="279"/>
      <c r="GU8" s="279"/>
    </row>
    <row r="9" spans="1:203" ht="8.1" customHeight="1">
      <c r="A9" s="162"/>
      <c r="D9" s="139"/>
      <c r="E9" s="139"/>
      <c r="F9" s="139"/>
      <c r="G9" s="139"/>
      <c r="H9" s="139"/>
      <c r="I9" s="139"/>
      <c r="J9" s="139"/>
      <c r="L9" s="29"/>
      <c r="R9" s="29"/>
      <c r="AC9" s="29"/>
      <c r="AI9" s="29"/>
      <c r="AT9" s="151"/>
      <c r="BA9" s="151"/>
      <c r="BE9" s="29"/>
      <c r="BQ9" s="117"/>
      <c r="BR9" s="29"/>
      <c r="CC9" s="151"/>
      <c r="CX9" s="151"/>
      <c r="DA9" s="151"/>
      <c r="DD9" s="29"/>
      <c r="DH9" s="151"/>
      <c r="DS9" s="29"/>
      <c r="EE9" s="151"/>
      <c r="EL9" s="151"/>
      <c r="ES9" s="29"/>
      <c r="EV9" s="151"/>
      <c r="EX9" s="151"/>
      <c r="FI9" s="151"/>
      <c r="FL9" s="29"/>
      <c r="FR9" s="157"/>
      <c r="FX9" s="151"/>
      <c r="GD9" s="29"/>
      <c r="GE9" s="29"/>
      <c r="GI9" s="29"/>
    </row>
    <row r="10" spans="1:203" s="146" customFormat="1" ht="21">
      <c r="A10" s="140" t="s">
        <v>975</v>
      </c>
      <c r="B10" s="140" t="s">
        <v>1338</v>
      </c>
      <c r="C10" s="141"/>
      <c r="D10" s="142" t="s">
        <v>1312</v>
      </c>
      <c r="E10" s="141"/>
      <c r="F10" s="141"/>
      <c r="G10" s="141"/>
      <c r="H10" s="141"/>
      <c r="I10" s="141"/>
      <c r="J10" s="141"/>
      <c r="K10" s="141"/>
      <c r="L10" s="143" t="s">
        <v>1126</v>
      </c>
      <c r="M10" s="144"/>
      <c r="N10" s="144"/>
      <c r="O10" s="144"/>
      <c r="P10" s="144"/>
      <c r="Q10" s="144"/>
      <c r="R10" s="143" t="s">
        <v>1132</v>
      </c>
      <c r="S10" s="141"/>
      <c r="T10" s="141"/>
      <c r="U10" s="141"/>
      <c r="V10" s="141"/>
      <c r="W10" s="141"/>
      <c r="X10" s="141"/>
      <c r="Y10" s="141"/>
      <c r="Z10" s="141"/>
      <c r="AA10" s="141"/>
      <c r="AB10" s="141"/>
      <c r="AC10" s="145" t="s">
        <v>1245</v>
      </c>
      <c r="AD10" s="141"/>
      <c r="AE10" s="141"/>
      <c r="AF10" s="141"/>
      <c r="AG10" s="141"/>
      <c r="AH10" s="141"/>
      <c r="AI10" s="153"/>
      <c r="AK10" s="141"/>
      <c r="AL10" s="141"/>
      <c r="AM10" s="141"/>
      <c r="AN10" s="141"/>
      <c r="AO10" s="141"/>
      <c r="AP10" s="141"/>
      <c r="AQ10" s="143" t="s">
        <v>1128</v>
      </c>
      <c r="AS10" s="141"/>
      <c r="AT10" s="143" t="s">
        <v>1127</v>
      </c>
      <c r="AU10" s="141"/>
      <c r="AV10" s="141"/>
      <c r="AW10" s="141"/>
      <c r="AX10" s="141"/>
      <c r="AY10" s="141"/>
      <c r="AZ10" s="141"/>
      <c r="BA10" s="143" t="s">
        <v>1125</v>
      </c>
      <c r="BB10" s="141"/>
      <c r="BC10" s="141"/>
      <c r="BD10" s="141"/>
      <c r="BE10" s="143" t="s">
        <v>1129</v>
      </c>
      <c r="BF10" s="141"/>
      <c r="BG10" s="141"/>
      <c r="BH10" s="141"/>
      <c r="BI10" s="141"/>
      <c r="BJ10" s="141"/>
      <c r="BK10" s="141"/>
      <c r="BL10" s="141"/>
      <c r="BM10" s="141"/>
      <c r="BN10" s="141"/>
      <c r="BO10" s="141"/>
      <c r="BP10" s="141"/>
      <c r="BQ10" s="152"/>
      <c r="BR10" s="143" t="s">
        <v>1133</v>
      </c>
      <c r="BS10" s="141"/>
      <c r="BT10" s="141"/>
      <c r="BU10" s="141"/>
      <c r="BV10" s="141"/>
      <c r="BW10" s="141"/>
      <c r="BX10" s="141"/>
      <c r="BY10" s="141"/>
      <c r="BZ10" s="141"/>
      <c r="CA10" s="141"/>
      <c r="CB10" s="141"/>
      <c r="CC10" s="143" t="s">
        <v>1156</v>
      </c>
      <c r="CD10" s="141"/>
      <c r="CE10" s="141"/>
      <c r="CF10" s="141"/>
      <c r="CG10" s="141"/>
      <c r="CH10" s="141"/>
      <c r="CI10" s="141"/>
      <c r="CJ10" s="143" t="s">
        <v>1157</v>
      </c>
      <c r="CK10" s="141"/>
      <c r="CL10" s="141"/>
      <c r="CM10" s="141"/>
      <c r="CN10" s="141"/>
      <c r="CO10" s="141"/>
      <c r="CP10" s="141"/>
      <c r="CQ10" s="154" t="s">
        <v>1165</v>
      </c>
      <c r="CR10" s="141"/>
      <c r="CS10" s="141"/>
      <c r="CT10" s="141"/>
      <c r="CU10" s="141"/>
      <c r="CV10" s="141"/>
      <c r="CW10" s="141"/>
      <c r="CX10" s="155" t="s">
        <v>1173</v>
      </c>
      <c r="CY10" s="141"/>
      <c r="CZ10" s="141"/>
      <c r="DA10" s="143" t="s">
        <v>1174</v>
      </c>
      <c r="DB10" s="141"/>
      <c r="DC10" s="141"/>
      <c r="DD10" s="143" t="s">
        <v>1177</v>
      </c>
      <c r="DE10" s="141"/>
      <c r="DF10" s="141"/>
      <c r="DG10" s="141"/>
      <c r="DH10" s="143" t="s">
        <v>1180</v>
      </c>
      <c r="DI10" s="141"/>
      <c r="DJ10" s="141"/>
      <c r="DK10" s="141"/>
      <c r="DL10" s="141"/>
      <c r="DM10" s="141"/>
      <c r="DN10" s="141"/>
      <c r="DO10" s="141"/>
      <c r="DP10" s="141"/>
      <c r="DQ10" s="141"/>
      <c r="DR10" s="141"/>
      <c r="DS10" s="143" t="s">
        <v>1181</v>
      </c>
      <c r="DT10" s="141"/>
      <c r="DU10" s="141"/>
      <c r="DV10" s="141"/>
      <c r="DW10" s="141"/>
      <c r="DX10" s="141"/>
      <c r="DY10" s="141"/>
      <c r="DZ10" s="141"/>
      <c r="EA10" s="141"/>
      <c r="EB10" s="141"/>
      <c r="EC10" s="141"/>
      <c r="ED10" s="141"/>
      <c r="EE10" s="143" t="s">
        <v>1136</v>
      </c>
      <c r="EF10" s="141"/>
      <c r="EG10" s="141"/>
      <c r="EH10" s="141"/>
      <c r="EI10" s="141"/>
      <c r="EJ10" s="141"/>
      <c r="EK10" s="141"/>
      <c r="EL10" s="143" t="s">
        <v>1135</v>
      </c>
      <c r="EM10" s="141"/>
      <c r="EN10" s="141"/>
      <c r="EO10" s="141"/>
      <c r="EP10" s="141"/>
      <c r="EQ10" s="141"/>
      <c r="ER10" s="141"/>
      <c r="ES10" s="156"/>
      <c r="ET10" s="141"/>
      <c r="EU10" s="141"/>
      <c r="EV10" s="147"/>
      <c r="EW10" s="141"/>
      <c r="EX10" s="143" t="s">
        <v>1187</v>
      </c>
      <c r="EY10" s="141"/>
      <c r="EZ10" s="141"/>
      <c r="FA10" s="141"/>
      <c r="FB10" s="141"/>
      <c r="FC10" s="141"/>
      <c r="FD10" s="141"/>
      <c r="FE10" s="141"/>
      <c r="FF10" s="141"/>
      <c r="FG10" s="141"/>
      <c r="FH10" s="141"/>
      <c r="FI10" s="143" t="s">
        <v>1137</v>
      </c>
      <c r="FJ10" s="141"/>
      <c r="FK10" s="141"/>
      <c r="FL10" s="156"/>
      <c r="FM10" s="141"/>
      <c r="FN10" s="141"/>
      <c r="FO10" s="141"/>
      <c r="FP10" s="141"/>
      <c r="FQ10" s="141"/>
      <c r="FR10" s="143" t="s">
        <v>1183</v>
      </c>
      <c r="FS10" s="141"/>
      <c r="FT10" s="141"/>
      <c r="FU10" s="141"/>
      <c r="FV10" s="141"/>
      <c r="FW10" s="237"/>
      <c r="FX10" s="143" t="s">
        <v>1189</v>
      </c>
      <c r="FY10" s="141"/>
      <c r="FZ10" s="141"/>
      <c r="GA10" s="141"/>
      <c r="GB10" s="141"/>
      <c r="GC10" s="141"/>
      <c r="GD10" s="147"/>
      <c r="GE10" s="145" t="s">
        <v>1313</v>
      </c>
      <c r="GF10" s="141"/>
      <c r="GG10" s="141"/>
      <c r="GH10" s="141"/>
      <c r="GI10" s="156"/>
    </row>
    <row r="11" spans="1:203" s="195" customFormat="1" ht="123.95" customHeight="1" thickBot="1">
      <c r="A11" s="197" t="s">
        <v>972</v>
      </c>
      <c r="B11" s="219" t="s">
        <v>972</v>
      </c>
      <c r="C11" s="198" t="s">
        <v>973</v>
      </c>
      <c r="D11" s="159" t="s">
        <v>964</v>
      </c>
      <c r="E11" s="159" t="s">
        <v>965</v>
      </c>
      <c r="F11" s="159" t="s">
        <v>966</v>
      </c>
      <c r="G11" s="159" t="s">
        <v>967</v>
      </c>
      <c r="H11" s="159" t="s">
        <v>968</v>
      </c>
      <c r="I11" s="160" t="s">
        <v>969</v>
      </c>
      <c r="J11" s="159" t="s">
        <v>970</v>
      </c>
      <c r="K11" s="161" t="s">
        <v>971</v>
      </c>
      <c r="L11" s="199" t="s">
        <v>1073</v>
      </c>
      <c r="M11" s="199" t="s">
        <v>1213</v>
      </c>
      <c r="N11" s="200" t="s">
        <v>1069</v>
      </c>
      <c r="O11" s="199" t="s">
        <v>1214</v>
      </c>
      <c r="P11" s="199" t="s">
        <v>1215</v>
      </c>
      <c r="Q11" s="201" t="s">
        <v>1225</v>
      </c>
      <c r="R11" s="202" t="s">
        <v>981</v>
      </c>
      <c r="S11" s="203"/>
      <c r="T11" s="204" t="s">
        <v>982</v>
      </c>
      <c r="U11" s="202" t="s">
        <v>983</v>
      </c>
      <c r="V11" s="203"/>
      <c r="W11" s="204" t="s">
        <v>984</v>
      </c>
      <c r="X11" s="202" t="s">
        <v>1078</v>
      </c>
      <c r="Y11" s="203"/>
      <c r="Z11" s="203"/>
      <c r="AA11" s="203"/>
      <c r="AB11" s="204" t="s">
        <v>1079</v>
      </c>
      <c r="AC11" s="205" t="s">
        <v>1080</v>
      </c>
      <c r="AD11" s="203"/>
      <c r="AE11" s="203"/>
      <c r="AF11" s="203"/>
      <c r="AG11" s="203"/>
      <c r="AH11" s="203"/>
      <c r="AI11" s="206" t="s">
        <v>1081</v>
      </c>
      <c r="AJ11" s="207" t="s">
        <v>1226</v>
      </c>
      <c r="AK11" s="207" t="s">
        <v>1082</v>
      </c>
      <c r="AL11" s="207" t="s">
        <v>1083</v>
      </c>
      <c r="AM11" s="207" t="s">
        <v>1085</v>
      </c>
      <c r="AN11" s="207" t="s">
        <v>1086</v>
      </c>
      <c r="AO11" s="207" t="s">
        <v>1087</v>
      </c>
      <c r="AP11" s="204" t="s">
        <v>1084</v>
      </c>
      <c r="AQ11" s="208" t="s">
        <v>1216</v>
      </c>
      <c r="AR11" s="209" t="s">
        <v>1094</v>
      </c>
      <c r="AS11" s="210" t="s">
        <v>1093</v>
      </c>
      <c r="AT11" s="211" t="s">
        <v>1095</v>
      </c>
      <c r="AU11" s="204" t="s">
        <v>1096</v>
      </c>
      <c r="AV11" s="204" t="s">
        <v>1097</v>
      </c>
      <c r="AW11" s="204" t="s">
        <v>1098</v>
      </c>
      <c r="AX11" s="204" t="s">
        <v>1099</v>
      </c>
      <c r="AY11" s="204" t="s">
        <v>1100</v>
      </c>
      <c r="AZ11" s="212" t="s">
        <v>1101</v>
      </c>
      <c r="BA11" s="205" t="s">
        <v>1131</v>
      </c>
      <c r="BB11" s="203"/>
      <c r="BC11" s="203"/>
      <c r="BD11" s="213" t="s">
        <v>1124</v>
      </c>
      <c r="BE11" s="214" t="s">
        <v>1130</v>
      </c>
      <c r="BF11" s="203"/>
      <c r="BG11" s="203"/>
      <c r="BH11" s="203"/>
      <c r="BI11" s="203"/>
      <c r="BJ11" s="203"/>
      <c r="BK11" s="203"/>
      <c r="BL11" s="203"/>
      <c r="BM11" s="203"/>
      <c r="BN11" s="203"/>
      <c r="BO11" s="203"/>
      <c r="BP11" s="203"/>
      <c r="BQ11" s="215" t="s">
        <v>1134</v>
      </c>
      <c r="BR11" s="211" t="s">
        <v>1139</v>
      </c>
      <c r="BS11" s="204" t="s">
        <v>1140</v>
      </c>
      <c r="BT11" s="204" t="s">
        <v>1141</v>
      </c>
      <c r="BU11" s="204" t="s">
        <v>1142</v>
      </c>
      <c r="BV11" s="204" t="s">
        <v>1143</v>
      </c>
      <c r="BW11" s="204" t="s">
        <v>1144</v>
      </c>
      <c r="BX11" s="204" t="s">
        <v>1145</v>
      </c>
      <c r="BY11" s="204" t="s">
        <v>1146</v>
      </c>
      <c r="BZ11" s="204" t="s">
        <v>1147</v>
      </c>
      <c r="CA11" s="204" t="s">
        <v>1286</v>
      </c>
      <c r="CB11" s="204" t="s">
        <v>1148</v>
      </c>
      <c r="CC11" s="211" t="s">
        <v>1150</v>
      </c>
      <c r="CD11" s="204" t="s">
        <v>1149</v>
      </c>
      <c r="CE11" s="204" t="s">
        <v>1151</v>
      </c>
      <c r="CF11" s="204" t="s">
        <v>1152</v>
      </c>
      <c r="CG11" s="204" t="s">
        <v>1153</v>
      </c>
      <c r="CH11" s="204" t="s">
        <v>1154</v>
      </c>
      <c r="CI11" s="204" t="s">
        <v>1155</v>
      </c>
      <c r="CJ11" s="211" t="s">
        <v>1158</v>
      </c>
      <c r="CK11" s="204" t="s">
        <v>1161</v>
      </c>
      <c r="CL11" s="204" t="s">
        <v>1159</v>
      </c>
      <c r="CM11" s="204" t="s">
        <v>1160</v>
      </c>
      <c r="CN11" s="204" t="s">
        <v>1162</v>
      </c>
      <c r="CO11" s="204" t="s">
        <v>1163</v>
      </c>
      <c r="CP11" s="204" t="s">
        <v>1164</v>
      </c>
      <c r="CQ11" s="211" t="s">
        <v>181</v>
      </c>
      <c r="CR11" s="204" t="s">
        <v>1167</v>
      </c>
      <c r="CS11" s="204" t="s">
        <v>1166</v>
      </c>
      <c r="CT11" s="204" t="s">
        <v>1168</v>
      </c>
      <c r="CU11" s="204" t="s">
        <v>1169</v>
      </c>
      <c r="CV11" s="204" t="s">
        <v>1170</v>
      </c>
      <c r="CW11" s="204" t="s">
        <v>1171</v>
      </c>
      <c r="CX11" s="211" t="s">
        <v>1172</v>
      </c>
      <c r="CY11" s="204" t="s">
        <v>1287</v>
      </c>
      <c r="CZ11" s="204" t="s">
        <v>1288</v>
      </c>
      <c r="DA11" s="211" t="s">
        <v>1175</v>
      </c>
      <c r="DB11" s="204" t="s">
        <v>1176</v>
      </c>
      <c r="DC11" s="204" t="s">
        <v>399</v>
      </c>
      <c r="DD11" s="211" t="s">
        <v>108</v>
      </c>
      <c r="DE11" s="204" t="s">
        <v>109</v>
      </c>
      <c r="DF11" s="204" t="s">
        <v>110</v>
      </c>
      <c r="DG11" s="204" t="s">
        <v>1178</v>
      </c>
      <c r="DH11" s="211" t="s">
        <v>112</v>
      </c>
      <c r="DI11" s="204" t="s">
        <v>113</v>
      </c>
      <c r="DJ11" s="204" t="s">
        <v>114</v>
      </c>
      <c r="DK11" s="204" t="s">
        <v>115</v>
      </c>
      <c r="DL11" s="204" t="s">
        <v>116</v>
      </c>
      <c r="DM11" s="204" t="s">
        <v>117</v>
      </c>
      <c r="DN11" s="204" t="s">
        <v>118</v>
      </c>
      <c r="DO11" s="204" t="s">
        <v>119</v>
      </c>
      <c r="DP11" s="204" t="s">
        <v>120</v>
      </c>
      <c r="DQ11" s="204" t="s">
        <v>121</v>
      </c>
      <c r="DR11" s="204" t="s">
        <v>122</v>
      </c>
      <c r="DS11" s="211" t="s">
        <v>123</v>
      </c>
      <c r="DT11" s="204" t="s">
        <v>124</v>
      </c>
      <c r="DU11" s="204" t="s">
        <v>125</v>
      </c>
      <c r="DV11" s="204" t="s">
        <v>126</v>
      </c>
      <c r="DW11" s="204" t="s">
        <v>127</v>
      </c>
      <c r="DX11" s="204" t="s">
        <v>128</v>
      </c>
      <c r="DY11" s="204" t="s">
        <v>129</v>
      </c>
      <c r="DZ11" s="204" t="s">
        <v>130</v>
      </c>
      <c r="EA11" s="204" t="s">
        <v>131</v>
      </c>
      <c r="EB11" s="204" t="s">
        <v>132</v>
      </c>
      <c r="EC11" s="204" t="s">
        <v>133</v>
      </c>
      <c r="ED11" s="204"/>
      <c r="EE11" s="211" t="s">
        <v>134</v>
      </c>
      <c r="EF11" s="204" t="s">
        <v>135</v>
      </c>
      <c r="EG11" s="204" t="s">
        <v>136</v>
      </c>
      <c r="EH11" s="204" t="s">
        <v>137</v>
      </c>
      <c r="EI11" s="204" t="s">
        <v>138</v>
      </c>
      <c r="EJ11" s="204" t="s">
        <v>139</v>
      </c>
      <c r="EK11" s="204" t="s">
        <v>140</v>
      </c>
      <c r="EL11" s="211" t="s">
        <v>134</v>
      </c>
      <c r="EM11" s="204" t="s">
        <v>135</v>
      </c>
      <c r="EN11" s="204" t="s">
        <v>136</v>
      </c>
      <c r="EO11" s="204" t="s">
        <v>137</v>
      </c>
      <c r="EP11" s="204" t="s">
        <v>138</v>
      </c>
      <c r="EQ11" s="204" t="s">
        <v>139</v>
      </c>
      <c r="ER11" s="204" t="s">
        <v>140</v>
      </c>
      <c r="ES11" s="211" t="s">
        <v>1184</v>
      </c>
      <c r="ET11" s="204" t="s">
        <v>1289</v>
      </c>
      <c r="EU11" s="203"/>
      <c r="EV11" s="211" t="s">
        <v>1185</v>
      </c>
      <c r="EW11" s="204" t="s">
        <v>1186</v>
      </c>
      <c r="EX11" s="211" t="s">
        <v>141</v>
      </c>
      <c r="EY11" s="204" t="s">
        <v>142</v>
      </c>
      <c r="EZ11" s="204" t="s">
        <v>143</v>
      </c>
      <c r="FA11" s="204" t="s">
        <v>144</v>
      </c>
      <c r="FB11" s="204" t="s">
        <v>145</v>
      </c>
      <c r="FC11" s="204" t="s">
        <v>146</v>
      </c>
      <c r="FD11" s="204" t="s">
        <v>147</v>
      </c>
      <c r="FE11" s="204" t="s">
        <v>148</v>
      </c>
      <c r="FF11" s="204" t="s">
        <v>149</v>
      </c>
      <c r="FG11" s="204" t="s">
        <v>150</v>
      </c>
      <c r="FH11" s="204" t="s">
        <v>1188</v>
      </c>
      <c r="FI11" s="214" t="s">
        <v>1138</v>
      </c>
      <c r="FJ11" s="203"/>
      <c r="FK11" s="203"/>
      <c r="FL11" s="214" t="s">
        <v>1182</v>
      </c>
      <c r="FM11" s="203"/>
      <c r="FN11" s="203"/>
      <c r="FO11" s="203"/>
      <c r="FP11" s="203"/>
      <c r="FQ11" s="203"/>
      <c r="FR11" s="211" t="s">
        <v>158</v>
      </c>
      <c r="FS11" s="204" t="s">
        <v>159</v>
      </c>
      <c r="FT11" s="204" t="s">
        <v>160</v>
      </c>
      <c r="FU11" s="204" t="s">
        <v>161</v>
      </c>
      <c r="FV11" s="204" t="s">
        <v>162</v>
      </c>
      <c r="FW11" s="238" t="s">
        <v>1190</v>
      </c>
      <c r="FX11" s="211" t="s">
        <v>158</v>
      </c>
      <c r="FY11" s="204" t="s">
        <v>159</v>
      </c>
      <c r="FZ11" s="204" t="s">
        <v>160</v>
      </c>
      <c r="GA11" s="204" t="s">
        <v>161</v>
      </c>
      <c r="GB11" s="204" t="s">
        <v>162</v>
      </c>
      <c r="GC11" s="212" t="s">
        <v>1190</v>
      </c>
      <c r="GD11" s="214" t="s">
        <v>1191</v>
      </c>
      <c r="GE11" s="216" t="s">
        <v>1311</v>
      </c>
      <c r="GF11" s="203"/>
      <c r="GG11" s="203"/>
      <c r="GH11" s="203"/>
      <c r="GI11" s="217"/>
      <c r="GJ11" s="218"/>
      <c r="GK11" s="218"/>
      <c r="GL11" s="218"/>
      <c r="GM11" s="218"/>
    </row>
    <row r="12" spans="1:203" ht="15.75">
      <c r="A12" s="294" t="s">
        <v>634</v>
      </c>
      <c r="B12" s="29" t="s">
        <v>226</v>
      </c>
      <c r="D12" s="10"/>
      <c r="E12" s="11"/>
      <c r="F12" s="11"/>
      <c r="G12" s="11"/>
      <c r="H12" s="11"/>
      <c r="I12" s="12"/>
      <c r="J12" s="11"/>
      <c r="K12" s="17"/>
      <c r="L12">
        <v>0.129</v>
      </c>
      <c r="M12">
        <v>0.129</v>
      </c>
      <c r="N12" s="4">
        <v>0.29899999999999999</v>
      </c>
      <c r="O12">
        <v>0.29899999999999999</v>
      </c>
      <c r="P12">
        <v>2100</v>
      </c>
      <c r="Q12" s="67">
        <f>L12*1000000/P12</f>
        <v>61.428571428571431</v>
      </c>
      <c r="R12" t="s">
        <v>38</v>
      </c>
      <c r="T12" t="s">
        <v>227</v>
      </c>
      <c r="U12" t="s">
        <v>38</v>
      </c>
      <c r="W12" t="s">
        <v>228</v>
      </c>
      <c r="Y12" t="s">
        <v>39</v>
      </c>
      <c r="AB12" t="s">
        <v>229</v>
      </c>
      <c r="AC12" s="29" t="s">
        <v>44</v>
      </c>
      <c r="AI12" s="30">
        <v>55</v>
      </c>
      <c r="AJ12" s="119">
        <f t="shared" ref="AJ12:AJ34" si="0">AI12/L12</f>
        <v>426.3565891472868</v>
      </c>
      <c r="AK12" s="31">
        <f>AI12*0.907185</f>
        <v>49.895175000000002</v>
      </c>
      <c r="AP12">
        <v>5</v>
      </c>
      <c r="AQ12" s="148"/>
      <c r="AR12" s="72"/>
      <c r="AS12" s="69"/>
      <c r="AT12" s="29"/>
      <c r="AY12" s="78">
        <v>55</v>
      </c>
      <c r="AZ12" s="78" t="s">
        <v>230</v>
      </c>
      <c r="BA12" s="29"/>
      <c r="BB12" t="s">
        <v>39</v>
      </c>
      <c r="BD12" s="75">
        <v>0</v>
      </c>
      <c r="BE12" s="29"/>
      <c r="BF12" t="s">
        <v>39</v>
      </c>
      <c r="BH12" s="75"/>
      <c r="BI12" s="75"/>
      <c r="BJ12" s="75"/>
      <c r="BK12" s="75"/>
      <c r="BL12" s="75"/>
      <c r="BM12" s="75"/>
      <c r="BN12" s="75"/>
      <c r="BO12" s="75"/>
      <c r="BP12" s="75"/>
      <c r="BQ12" s="29">
        <v>0</v>
      </c>
      <c r="BR12" s="29" t="s">
        <v>71</v>
      </c>
      <c r="BS12" t="s">
        <v>72</v>
      </c>
      <c r="CC12" s="29" t="s">
        <v>180</v>
      </c>
      <c r="CL12" t="s">
        <v>171</v>
      </c>
      <c r="CQ12" t="s">
        <v>181</v>
      </c>
      <c r="CX12" s="29"/>
      <c r="CZ12" t="s">
        <v>105</v>
      </c>
      <c r="DA12" s="29"/>
      <c r="DC12" t="s">
        <v>43</v>
      </c>
      <c r="DD12" s="29"/>
      <c r="DG12">
        <v>100</v>
      </c>
      <c r="DH12" s="29"/>
      <c r="DS12" s="29"/>
      <c r="DY12" t="s">
        <v>129</v>
      </c>
      <c r="EE12" s="29"/>
      <c r="EK12" t="s">
        <v>1194</v>
      </c>
      <c r="EL12" s="99"/>
      <c r="EM12" s="112"/>
      <c r="EN12" s="112"/>
      <c r="EO12" s="112"/>
      <c r="EP12" s="112"/>
      <c r="EQ12" s="112"/>
      <c r="ES12" s="99">
        <v>21000</v>
      </c>
      <c r="ET12" s="111">
        <f>ES12/AI12</f>
        <v>381.81818181818181</v>
      </c>
      <c r="EU12" t="s">
        <v>231</v>
      </c>
      <c r="EV12" s="29">
        <v>25</v>
      </c>
      <c r="EW12">
        <v>25</v>
      </c>
      <c r="EX12" s="29" t="s">
        <v>232</v>
      </c>
      <c r="FC12" t="s">
        <v>38</v>
      </c>
      <c r="FD12" t="s">
        <v>38</v>
      </c>
      <c r="FH12" t="s">
        <v>1310</v>
      </c>
      <c r="FI12" s="29" t="s">
        <v>38</v>
      </c>
      <c r="FL12" s="29" t="s">
        <v>152</v>
      </c>
      <c r="FR12" s="29"/>
      <c r="FS12" t="s">
        <v>159</v>
      </c>
      <c r="FX12" s="29" t="s">
        <v>158</v>
      </c>
      <c r="GD12" s="29"/>
      <c r="GE12" s="29"/>
      <c r="GI12" s="29"/>
    </row>
    <row r="13" spans="1:203" ht="15.75">
      <c r="A13" s="294" t="s">
        <v>1016</v>
      </c>
      <c r="B13" s="29"/>
      <c r="D13" s="5"/>
      <c r="E13" s="5" t="s">
        <v>1017</v>
      </c>
      <c r="F13" s="5"/>
      <c r="G13" s="5" t="s">
        <v>1018</v>
      </c>
      <c r="H13" s="5" t="s">
        <v>714</v>
      </c>
      <c r="I13" s="6" t="s">
        <v>1019</v>
      </c>
      <c r="J13" s="5"/>
      <c r="K13" s="7"/>
      <c r="L13" s="50">
        <v>1.67</v>
      </c>
      <c r="M13" s="50"/>
      <c r="N13" s="61">
        <v>1.67</v>
      </c>
      <c r="O13" s="50"/>
      <c r="Q13" s="67"/>
      <c r="AC13" s="45" t="s">
        <v>44</v>
      </c>
      <c r="AI13" s="58">
        <f>12*22.78</f>
        <v>273.36</v>
      </c>
      <c r="AJ13" s="119">
        <f t="shared" si="0"/>
        <v>163.68862275449104</v>
      </c>
      <c r="AK13" s="31">
        <f>AI13*0.907185</f>
        <v>247.98809160000002</v>
      </c>
      <c r="AQ13" s="148"/>
      <c r="AR13" s="73"/>
      <c r="AS13" s="70"/>
      <c r="AT13" s="29"/>
      <c r="AU13" s="46">
        <v>263.45999999999998</v>
      </c>
      <c r="AY13" s="40"/>
      <c r="AZ13" s="40"/>
      <c r="BA13" s="29"/>
      <c r="BD13" s="75"/>
      <c r="BE13" s="29"/>
      <c r="BH13" s="75"/>
      <c r="BI13" s="75"/>
      <c r="BJ13" s="75"/>
      <c r="BK13" s="75"/>
      <c r="BL13" s="75"/>
      <c r="BM13" s="75"/>
      <c r="BN13" s="75"/>
      <c r="BO13" s="75"/>
      <c r="BP13" s="75"/>
      <c r="BQ13" s="29"/>
      <c r="BR13" s="29"/>
      <c r="CC13" s="29"/>
      <c r="CX13" s="29"/>
      <c r="DA13" s="29"/>
      <c r="DD13" s="29"/>
      <c r="DH13" s="29"/>
      <c r="DS13" s="29"/>
      <c r="EE13" s="29"/>
      <c r="EL13" s="99"/>
      <c r="EM13" s="112"/>
      <c r="EN13" s="112"/>
      <c r="EO13" s="112"/>
      <c r="EP13" s="112"/>
      <c r="EQ13" s="112"/>
      <c r="ES13" s="99"/>
      <c r="ET13" s="111"/>
      <c r="EV13" s="29"/>
      <c r="EX13" s="29"/>
      <c r="FI13" s="29"/>
      <c r="FL13" s="29"/>
      <c r="FR13" s="29"/>
      <c r="FX13" s="29"/>
      <c r="GD13" s="29"/>
      <c r="GE13" s="29"/>
      <c r="GI13" s="29"/>
    </row>
    <row r="14" spans="1:203" ht="15.75">
      <c r="A14" s="228" t="s">
        <v>635</v>
      </c>
      <c r="B14" s="29" t="s">
        <v>178</v>
      </c>
      <c r="D14" s="14"/>
      <c r="E14" s="5" t="s">
        <v>712</v>
      </c>
      <c r="F14" s="5"/>
      <c r="G14" s="5" t="s">
        <v>713</v>
      </c>
      <c r="H14" s="5" t="s">
        <v>714</v>
      </c>
      <c r="I14" s="6" t="s">
        <v>715</v>
      </c>
      <c r="J14" s="5"/>
      <c r="K14" s="18"/>
      <c r="L14">
        <v>1.8</v>
      </c>
      <c r="M14">
        <v>1.8</v>
      </c>
      <c r="N14" s="4">
        <v>2.4</v>
      </c>
      <c r="O14">
        <v>2.4</v>
      </c>
      <c r="P14">
        <v>17500</v>
      </c>
      <c r="Q14" s="67">
        <f>L14*1000000/P14</f>
        <v>102.85714285714286</v>
      </c>
      <c r="S14" t="s">
        <v>39</v>
      </c>
      <c r="V14" t="s">
        <v>39</v>
      </c>
      <c r="X14" t="s">
        <v>38</v>
      </c>
      <c r="AC14" s="29"/>
      <c r="AD14" t="s">
        <v>45</v>
      </c>
      <c r="AI14" s="33">
        <f>1.10231162684681*AK14</f>
        <v>379.19519963530269</v>
      </c>
      <c r="AJ14" s="119">
        <f t="shared" si="0"/>
        <v>210.66399979739037</v>
      </c>
      <c r="AK14">
        <v>344</v>
      </c>
      <c r="AP14">
        <v>27</v>
      </c>
      <c r="AQ14" s="148" t="s">
        <v>38</v>
      </c>
      <c r="AR14" s="73">
        <v>344</v>
      </c>
      <c r="AS14" s="70">
        <v>363</v>
      </c>
      <c r="AT14" s="33">
        <f>1.10231162684681*223</f>
        <v>245.81549278683863</v>
      </c>
      <c r="BA14" s="29"/>
      <c r="BB14" t="s">
        <v>39</v>
      </c>
      <c r="BD14" s="75"/>
      <c r="BE14" s="29"/>
      <c r="BF14" t="s">
        <v>39</v>
      </c>
      <c r="BH14" s="75"/>
      <c r="BI14" s="75"/>
      <c r="BJ14" s="75"/>
      <c r="BK14" s="75"/>
      <c r="BL14" s="75"/>
      <c r="BM14" s="75"/>
      <c r="BN14" s="75"/>
      <c r="BO14" s="75"/>
      <c r="BP14" s="75"/>
      <c r="BQ14" s="29"/>
      <c r="BR14" s="29"/>
      <c r="BT14" t="s">
        <v>73</v>
      </c>
      <c r="CC14" s="29"/>
      <c r="CM14" t="s">
        <v>172</v>
      </c>
      <c r="CX14" s="29" t="s">
        <v>103</v>
      </c>
      <c r="DA14" s="29" t="s">
        <v>106</v>
      </c>
      <c r="DD14" s="88"/>
      <c r="DH14" s="29"/>
      <c r="DS14" s="29"/>
      <c r="DV14" t="s">
        <v>126</v>
      </c>
      <c r="EE14" s="29"/>
      <c r="EJ14">
        <v>100</v>
      </c>
      <c r="EL14" s="99"/>
      <c r="EM14" s="112"/>
      <c r="EN14" s="112"/>
      <c r="EO14" s="112"/>
      <c r="EP14" s="112"/>
      <c r="EQ14" s="112"/>
      <c r="ES14" s="99">
        <v>175000</v>
      </c>
      <c r="ET14" s="111">
        <f>ES14/AI14</f>
        <v>461.50373255861143</v>
      </c>
      <c r="EV14" s="29">
        <v>10</v>
      </c>
      <c r="EW14">
        <v>50</v>
      </c>
      <c r="EX14" s="29"/>
      <c r="FI14" s="29"/>
      <c r="FJ14" t="s">
        <v>39</v>
      </c>
      <c r="FL14" s="29"/>
      <c r="FR14" s="29"/>
      <c r="FT14" t="s">
        <v>160</v>
      </c>
      <c r="FX14" s="29"/>
      <c r="FZ14" t="s">
        <v>160</v>
      </c>
      <c r="GD14" s="29"/>
      <c r="GE14" s="29"/>
      <c r="GI14" s="29"/>
    </row>
    <row r="15" spans="1:203" ht="60">
      <c r="A15" s="228" t="s">
        <v>279</v>
      </c>
      <c r="B15" s="29" t="s">
        <v>279</v>
      </c>
      <c r="D15" s="14"/>
      <c r="E15" s="5" t="s">
        <v>716</v>
      </c>
      <c r="F15" s="5"/>
      <c r="G15" s="5" t="s">
        <v>717</v>
      </c>
      <c r="H15" s="5" t="s">
        <v>714</v>
      </c>
      <c r="I15" s="6" t="s">
        <v>718</v>
      </c>
      <c r="J15" s="5"/>
      <c r="K15" s="19"/>
      <c r="L15">
        <v>4.5540000000000003</v>
      </c>
      <c r="M15">
        <v>4.5540000000000003</v>
      </c>
      <c r="N15" s="4">
        <v>7.1</v>
      </c>
      <c r="O15">
        <v>7.1</v>
      </c>
      <c r="P15">
        <v>50000</v>
      </c>
      <c r="Q15" s="67">
        <f>L15*1000000/P15</f>
        <v>91.08</v>
      </c>
      <c r="R15" t="s">
        <v>38</v>
      </c>
      <c r="T15" t="s">
        <v>280</v>
      </c>
      <c r="V15" t="s">
        <v>39</v>
      </c>
      <c r="AA15" t="s">
        <v>43</v>
      </c>
      <c r="AC15" s="29"/>
      <c r="AD15" t="s">
        <v>45</v>
      </c>
      <c r="AI15" s="33">
        <f>1.10231162684681*AK15</f>
        <v>1009.717450191678</v>
      </c>
      <c r="AJ15" s="119">
        <f t="shared" si="0"/>
        <v>221.72100355548486</v>
      </c>
      <c r="AK15">
        <v>916</v>
      </c>
      <c r="AO15" s="40">
        <v>3840420</v>
      </c>
      <c r="AP15">
        <v>6</v>
      </c>
      <c r="AQ15" s="148" t="s">
        <v>38</v>
      </c>
      <c r="AR15" s="73">
        <v>891.55</v>
      </c>
      <c r="AS15" s="70">
        <v>918.53</v>
      </c>
      <c r="AT15" s="29"/>
      <c r="AU15" s="32">
        <f>1.10231162684681*916</f>
        <v>1009.717450191678</v>
      </c>
      <c r="BA15" s="29" t="s">
        <v>38</v>
      </c>
      <c r="BD15" s="75">
        <v>413385</v>
      </c>
      <c r="BE15" s="29"/>
      <c r="BF15" t="s">
        <v>39</v>
      </c>
      <c r="BH15" s="75"/>
      <c r="BI15" s="75"/>
      <c r="BJ15" s="75"/>
      <c r="BK15" s="75"/>
      <c r="BL15" s="75"/>
      <c r="BM15" s="75"/>
      <c r="BN15" s="75"/>
      <c r="BO15" s="75"/>
      <c r="BP15" s="75"/>
      <c r="BQ15" s="29">
        <v>60</v>
      </c>
      <c r="BR15" s="29" t="s">
        <v>71</v>
      </c>
      <c r="BS15" t="s">
        <v>72</v>
      </c>
      <c r="CC15" s="29"/>
      <c r="CS15" t="s">
        <v>171</v>
      </c>
      <c r="CX15" s="29"/>
      <c r="CZ15" t="s">
        <v>105</v>
      </c>
      <c r="DA15" s="29" t="s">
        <v>106</v>
      </c>
      <c r="DD15" s="29"/>
      <c r="DH15" s="29"/>
      <c r="DS15" s="29"/>
      <c r="DY15" t="s">
        <v>129</v>
      </c>
      <c r="EE15" s="29"/>
      <c r="EH15">
        <v>100</v>
      </c>
      <c r="EL15" s="99"/>
      <c r="EM15" s="112"/>
      <c r="EN15" s="112"/>
      <c r="EO15" s="112">
        <v>250</v>
      </c>
      <c r="EP15" s="112"/>
      <c r="EQ15" s="112"/>
      <c r="ES15" s="99">
        <v>500000</v>
      </c>
      <c r="ET15" s="111">
        <f>ES15/AI15</f>
        <v>495.18803493500417</v>
      </c>
      <c r="EU15" t="s">
        <v>281</v>
      </c>
      <c r="EV15" s="29">
        <v>15</v>
      </c>
      <c r="EW15">
        <v>25</v>
      </c>
      <c r="EX15" s="29" t="s">
        <v>282</v>
      </c>
      <c r="FI15" s="29" t="s">
        <v>38</v>
      </c>
      <c r="FL15" s="29"/>
      <c r="FO15" t="s">
        <v>155</v>
      </c>
      <c r="FR15" s="29"/>
      <c r="FV15" t="s">
        <v>162</v>
      </c>
      <c r="FX15" s="29"/>
      <c r="FY15" t="s">
        <v>159</v>
      </c>
      <c r="GD15" s="29"/>
      <c r="GE15" s="29"/>
      <c r="GI15" s="29"/>
    </row>
    <row r="16" spans="1:203" ht="15.75">
      <c r="A16" s="228" t="s">
        <v>1020</v>
      </c>
      <c r="B16" s="29"/>
      <c r="D16" s="14"/>
      <c r="E16" s="5"/>
      <c r="F16" s="5"/>
      <c r="G16" s="5"/>
      <c r="H16" s="5"/>
      <c r="I16" s="6"/>
      <c r="J16" s="5"/>
      <c r="K16" s="19"/>
      <c r="L16" s="50">
        <v>0.03</v>
      </c>
      <c r="M16" s="50"/>
      <c r="N16" s="61">
        <v>0.03</v>
      </c>
      <c r="O16" s="50"/>
      <c r="Q16" s="67"/>
      <c r="AC16" s="29"/>
      <c r="AI16" s="57">
        <f>0.34*12</f>
        <v>4.08</v>
      </c>
      <c r="AJ16" s="119">
        <f t="shared" si="0"/>
        <v>136</v>
      </c>
      <c r="AK16" s="31">
        <f>AI16*0.907185</f>
        <v>3.7013148</v>
      </c>
      <c r="AO16" s="40"/>
      <c r="AQ16" s="148"/>
      <c r="AR16" s="73"/>
      <c r="AS16" s="70"/>
      <c r="AT16" s="29"/>
      <c r="AU16" s="34">
        <v>4.0999999999999996</v>
      </c>
      <c r="AZ16" s="34" t="s">
        <v>1102</v>
      </c>
      <c r="BA16" s="29"/>
      <c r="BD16" s="75"/>
      <c r="BE16" s="29"/>
      <c r="BH16" s="75"/>
      <c r="BI16" s="75"/>
      <c r="BJ16" s="75"/>
      <c r="BK16" s="75"/>
      <c r="BL16" s="75"/>
      <c r="BM16" s="75"/>
      <c r="BN16" s="75"/>
      <c r="BO16" s="75"/>
      <c r="BP16" s="75"/>
      <c r="BQ16" s="29"/>
      <c r="BR16" s="29"/>
      <c r="CC16" s="29"/>
      <c r="CX16" s="29"/>
      <c r="DA16" s="29"/>
      <c r="DD16" s="29"/>
      <c r="DH16" s="29"/>
      <c r="DS16" s="29"/>
      <c r="EE16" s="29"/>
      <c r="EL16" s="99"/>
      <c r="EM16" s="112"/>
      <c r="EN16" s="112"/>
      <c r="EO16" s="112"/>
      <c r="EP16" s="112"/>
      <c r="EQ16" s="112"/>
      <c r="ES16" s="99"/>
      <c r="ET16" s="111"/>
      <c r="EV16" s="29"/>
      <c r="EX16" s="29"/>
      <c r="FI16" s="29"/>
      <c r="FL16" s="29"/>
      <c r="FR16" s="29"/>
      <c r="FX16" s="29"/>
      <c r="GD16" s="29"/>
      <c r="GE16" s="29"/>
      <c r="GI16" s="29"/>
    </row>
    <row r="17" spans="1:191" ht="30">
      <c r="A17" s="228" t="s">
        <v>636</v>
      </c>
      <c r="B17" s="29" t="s">
        <v>621</v>
      </c>
      <c r="D17" s="14"/>
      <c r="E17" s="5" t="s">
        <v>719</v>
      </c>
      <c r="F17" s="5"/>
      <c r="G17" s="5" t="s">
        <v>720</v>
      </c>
      <c r="H17" s="5" t="s">
        <v>714</v>
      </c>
      <c r="I17" s="6" t="s">
        <v>721</v>
      </c>
      <c r="J17" s="5"/>
      <c r="K17" s="20"/>
      <c r="L17">
        <v>1.2989999999999999</v>
      </c>
      <c r="M17">
        <v>1.2989999999999999</v>
      </c>
      <c r="N17" s="4">
        <v>1.75</v>
      </c>
      <c r="O17">
        <v>1.75</v>
      </c>
      <c r="P17">
        <f>2600*3</f>
        <v>7800</v>
      </c>
      <c r="Q17" s="67">
        <f>L17*1000000/P17</f>
        <v>166.53846153846155</v>
      </c>
      <c r="R17" t="s">
        <v>38</v>
      </c>
      <c r="T17" t="s">
        <v>223</v>
      </c>
      <c r="U17" t="s">
        <v>38</v>
      </c>
      <c r="W17" t="s">
        <v>224</v>
      </c>
      <c r="Y17" t="s">
        <v>39</v>
      </c>
      <c r="AC17" s="29"/>
      <c r="AD17" t="s">
        <v>45</v>
      </c>
      <c r="AI17" s="33">
        <f>1.10231162684681*AK17</f>
        <v>369.27439499368137</v>
      </c>
      <c r="AJ17" s="119">
        <f t="shared" si="0"/>
        <v>284.27590068797645</v>
      </c>
      <c r="AK17">
        <v>335</v>
      </c>
      <c r="AP17">
        <v>5</v>
      </c>
      <c r="AQ17" s="148"/>
      <c r="AR17" s="73"/>
      <c r="AS17" s="70"/>
      <c r="AT17" s="29"/>
      <c r="AU17" s="32">
        <f>1.10231162684681*335</f>
        <v>369.27439499368137</v>
      </c>
      <c r="BA17" s="29" t="s">
        <v>38</v>
      </c>
      <c r="BD17" s="75">
        <v>500450</v>
      </c>
      <c r="BE17" s="29"/>
      <c r="BF17" t="s">
        <v>39</v>
      </c>
      <c r="BH17" s="75"/>
      <c r="BI17" s="75"/>
      <c r="BJ17" s="75"/>
      <c r="BK17" s="75"/>
      <c r="BL17" s="75"/>
      <c r="BM17" s="75"/>
      <c r="BN17" s="75"/>
      <c r="BO17" s="75"/>
      <c r="BP17" s="75"/>
      <c r="BQ17" s="29">
        <v>0</v>
      </c>
      <c r="BR17" s="29"/>
      <c r="BS17" t="s">
        <v>72</v>
      </c>
      <c r="CC17" s="29"/>
      <c r="CK17" t="s">
        <v>170</v>
      </c>
      <c r="CX17" s="29" t="s">
        <v>103</v>
      </c>
      <c r="DA17" s="29" t="s">
        <v>106</v>
      </c>
      <c r="DD17" s="29"/>
      <c r="DG17">
        <v>100</v>
      </c>
      <c r="DH17" s="29"/>
      <c r="DS17" s="29"/>
      <c r="DZ17" t="s">
        <v>130</v>
      </c>
      <c r="EC17" t="s">
        <v>225</v>
      </c>
      <c r="EE17" s="29"/>
      <c r="EH17">
        <v>100</v>
      </c>
      <c r="EL17" s="99"/>
      <c r="EM17" s="112"/>
      <c r="EN17" s="112"/>
      <c r="EO17" s="112">
        <v>432</v>
      </c>
      <c r="EP17" s="112"/>
      <c r="EQ17" s="112"/>
      <c r="ES17" s="99">
        <v>18000</v>
      </c>
      <c r="ET17" s="111">
        <f>ES17/AI17</f>
        <v>48.744240716467758</v>
      </c>
      <c r="EV17" s="29">
        <v>10</v>
      </c>
      <c r="EW17">
        <v>14</v>
      </c>
      <c r="EX17" s="29"/>
      <c r="FI17" s="29" t="s">
        <v>38</v>
      </c>
      <c r="FL17" s="29"/>
      <c r="FN17" t="s">
        <v>154</v>
      </c>
      <c r="FR17" s="29"/>
      <c r="FT17" t="s">
        <v>160</v>
      </c>
      <c r="FX17" s="29"/>
      <c r="FZ17" t="s">
        <v>160</v>
      </c>
      <c r="GD17" s="29"/>
      <c r="GE17" s="29"/>
      <c r="GI17" s="29"/>
    </row>
    <row r="18" spans="1:191" ht="15.75">
      <c r="A18" s="228" t="s">
        <v>1021</v>
      </c>
      <c r="B18" s="29"/>
      <c r="D18" s="14"/>
      <c r="E18" s="5"/>
      <c r="F18" s="5"/>
      <c r="G18" s="5"/>
      <c r="H18" s="5"/>
      <c r="I18" s="6"/>
      <c r="J18" s="5"/>
      <c r="K18" s="20"/>
      <c r="L18" s="50">
        <v>3.43</v>
      </c>
      <c r="M18" s="50"/>
      <c r="N18" s="61">
        <v>3.43</v>
      </c>
      <c r="O18" s="50"/>
      <c r="Q18" s="67"/>
      <c r="AC18" s="29"/>
      <c r="AI18" s="33">
        <f>1.10231162684681*AK18</f>
        <v>3114.0303458422386</v>
      </c>
      <c r="AJ18" s="119">
        <f t="shared" si="0"/>
        <v>907.88056730094411</v>
      </c>
      <c r="AK18" s="47">
        <v>2825</v>
      </c>
      <c r="AQ18" s="148" t="s">
        <v>38</v>
      </c>
      <c r="AR18" s="73">
        <v>2825</v>
      </c>
      <c r="AS18" s="70">
        <v>2279</v>
      </c>
      <c r="AT18" s="29"/>
      <c r="AV18" s="76">
        <f>1.10231162684681*2825</f>
        <v>3114.0303458422386</v>
      </c>
      <c r="AW18" s="40"/>
      <c r="AX18" s="40"/>
      <c r="AY18" s="40"/>
      <c r="BA18" s="29"/>
      <c r="BD18" s="75"/>
      <c r="BE18" s="29"/>
      <c r="BH18" s="75"/>
      <c r="BI18" s="75"/>
      <c r="BJ18" s="75"/>
      <c r="BK18" s="75"/>
      <c r="BL18" s="75"/>
      <c r="BM18" s="75"/>
      <c r="BN18" s="75"/>
      <c r="BO18" s="75"/>
      <c r="BP18" s="75"/>
      <c r="BQ18" s="29"/>
      <c r="BR18" s="29"/>
      <c r="CC18" s="29"/>
      <c r="CX18" s="29"/>
      <c r="DA18" s="29"/>
      <c r="DD18" s="29"/>
      <c r="DH18" s="29"/>
      <c r="DS18" s="29"/>
      <c r="EE18" s="29"/>
      <c r="EL18" s="99"/>
      <c r="EM18" s="112"/>
      <c r="EN18" s="112"/>
      <c r="EO18" s="112"/>
      <c r="EP18" s="112"/>
      <c r="EQ18" s="112"/>
      <c r="ES18" s="99"/>
      <c r="ET18" s="111"/>
      <c r="EV18" s="29"/>
      <c r="EX18" s="29"/>
      <c r="FI18" s="29"/>
      <c r="FL18" s="29"/>
      <c r="FR18" s="29"/>
      <c r="FX18" s="29"/>
      <c r="GD18" s="29"/>
      <c r="GE18" s="29"/>
      <c r="GI18" s="29"/>
    </row>
    <row r="19" spans="1:191" ht="15.75">
      <c r="A19" s="228" t="s">
        <v>637</v>
      </c>
      <c r="B19" s="29" t="s">
        <v>974</v>
      </c>
      <c r="D19" s="14"/>
      <c r="E19" s="5" t="s">
        <v>722</v>
      </c>
      <c r="F19" s="5"/>
      <c r="G19" s="5" t="s">
        <v>723</v>
      </c>
      <c r="H19" s="5" t="s">
        <v>724</v>
      </c>
      <c r="I19" s="6" t="s">
        <v>725</v>
      </c>
      <c r="J19" s="5"/>
      <c r="K19" s="20"/>
      <c r="L19">
        <v>1.4</v>
      </c>
      <c r="M19">
        <v>1.4</v>
      </c>
      <c r="N19" s="4">
        <v>1.78</v>
      </c>
      <c r="O19">
        <v>1.78</v>
      </c>
      <c r="P19">
        <v>8500</v>
      </c>
      <c r="Q19" s="67">
        <f>L19*1000000/P19</f>
        <v>164.70588235294119</v>
      </c>
      <c r="R19" t="s">
        <v>38</v>
      </c>
      <c r="U19" t="s">
        <v>38</v>
      </c>
      <c r="W19" t="s">
        <v>527</v>
      </c>
      <c r="X19" t="s">
        <v>38</v>
      </c>
      <c r="AC19" s="29"/>
      <c r="AI19" s="56">
        <f>34*12</f>
        <v>408</v>
      </c>
      <c r="AJ19" s="119">
        <f t="shared" si="0"/>
        <v>291.42857142857144</v>
      </c>
      <c r="AK19" s="31">
        <f>AI19*0.907185</f>
        <v>370.13148000000001</v>
      </c>
      <c r="AQ19" s="148" t="s">
        <v>38</v>
      </c>
      <c r="AR19" s="73"/>
      <c r="AS19" s="70"/>
      <c r="AT19" s="29"/>
      <c r="AU19" s="34">
        <v>408</v>
      </c>
      <c r="AZ19" s="34" t="s">
        <v>1103</v>
      </c>
      <c r="BA19" s="29"/>
      <c r="BD19" s="75"/>
      <c r="BE19" s="29"/>
      <c r="BH19" s="75"/>
      <c r="BI19" s="75"/>
      <c r="BJ19" s="75"/>
      <c r="BK19" s="75"/>
      <c r="BL19" s="75"/>
      <c r="BM19" s="75"/>
      <c r="BN19" s="75"/>
      <c r="BO19" s="75"/>
      <c r="BP19" s="75"/>
      <c r="BQ19" s="29"/>
      <c r="BR19" s="29"/>
      <c r="CC19" s="29"/>
      <c r="CX19" s="29"/>
      <c r="DA19" s="29"/>
      <c r="DD19" s="29"/>
      <c r="DH19" s="29"/>
      <c r="DS19" s="29"/>
      <c r="EE19" s="29"/>
      <c r="EL19" s="99"/>
      <c r="EM19" s="112"/>
      <c r="EN19" s="112"/>
      <c r="EO19" s="112"/>
      <c r="EP19" s="112"/>
      <c r="EQ19" s="112"/>
      <c r="ES19" s="99"/>
      <c r="ET19" s="111"/>
      <c r="EV19" s="29"/>
      <c r="EX19" s="29"/>
      <c r="FI19" s="29"/>
      <c r="FL19" s="29"/>
      <c r="FR19" s="29"/>
      <c r="FX19" s="29"/>
      <c r="GD19" s="29"/>
      <c r="GE19" s="29"/>
      <c r="GI19" s="29"/>
    </row>
    <row r="20" spans="1:191" ht="15.75">
      <c r="A20" s="228" t="s">
        <v>638</v>
      </c>
      <c r="B20" s="29" t="s">
        <v>617</v>
      </c>
      <c r="D20" s="14"/>
      <c r="E20" s="5" t="s">
        <v>726</v>
      </c>
      <c r="F20" s="5"/>
      <c r="G20" s="5" t="s">
        <v>727</v>
      </c>
      <c r="H20" s="5" t="s">
        <v>714</v>
      </c>
      <c r="I20" s="6" t="s">
        <v>728</v>
      </c>
      <c r="J20" s="14"/>
      <c r="K20" s="21"/>
      <c r="L20">
        <v>1.68</v>
      </c>
      <c r="M20">
        <v>1.68</v>
      </c>
      <c r="N20" s="4">
        <v>2.7</v>
      </c>
      <c r="O20">
        <v>2.7</v>
      </c>
      <c r="P20" s="50">
        <v>12000</v>
      </c>
      <c r="Q20" s="67">
        <f>L20*1000000/P20</f>
        <v>140</v>
      </c>
      <c r="R20" t="s">
        <v>38</v>
      </c>
      <c r="T20" t="s">
        <v>173</v>
      </c>
      <c r="V20" t="s">
        <v>39</v>
      </c>
      <c r="Y20" t="s">
        <v>39</v>
      </c>
      <c r="AB20" t="s">
        <v>174</v>
      </c>
      <c r="AC20" s="29" t="s">
        <v>44</v>
      </c>
      <c r="AI20" s="29">
        <v>1047</v>
      </c>
      <c r="AJ20" s="119">
        <f t="shared" si="0"/>
        <v>623.21428571428578</v>
      </c>
      <c r="AK20" s="31">
        <f>AI20*0.907185</f>
        <v>949.82269500000007</v>
      </c>
      <c r="AP20">
        <v>6</v>
      </c>
      <c r="AQ20" s="148"/>
      <c r="AR20" s="73"/>
      <c r="AS20" s="70"/>
      <c r="AT20" s="29"/>
      <c r="AU20">
        <v>1047</v>
      </c>
      <c r="BA20" s="29" t="s">
        <v>38</v>
      </c>
      <c r="BD20" s="75">
        <v>9048000</v>
      </c>
      <c r="BE20" s="29"/>
      <c r="BF20" t="s">
        <v>39</v>
      </c>
      <c r="BH20" s="75"/>
      <c r="BI20" s="75"/>
      <c r="BJ20" s="75"/>
      <c r="BK20" s="75"/>
      <c r="BL20" s="75"/>
      <c r="BM20" s="75"/>
      <c r="BN20" s="75"/>
      <c r="BO20" s="75"/>
      <c r="BP20" s="75"/>
      <c r="BQ20" s="29">
        <v>51</v>
      </c>
      <c r="BR20" s="29" t="s">
        <v>71</v>
      </c>
      <c r="BS20" t="s">
        <v>72</v>
      </c>
      <c r="CC20" s="29"/>
      <c r="CD20" t="s">
        <v>170</v>
      </c>
      <c r="CK20" t="s">
        <v>170</v>
      </c>
      <c r="CR20" t="s">
        <v>170</v>
      </c>
      <c r="CX20" s="29"/>
      <c r="CY20" t="s">
        <v>104</v>
      </c>
      <c r="DA20" s="29"/>
      <c r="DC20" t="s">
        <v>43</v>
      </c>
      <c r="DD20" s="29"/>
      <c r="DH20" s="29"/>
      <c r="DS20" s="29"/>
      <c r="EB20" t="s">
        <v>132</v>
      </c>
      <c r="EE20" s="29"/>
      <c r="EH20">
        <v>100</v>
      </c>
      <c r="EL20" s="99"/>
      <c r="EM20" s="112"/>
      <c r="EN20" s="112"/>
      <c r="EO20" s="113"/>
      <c r="EP20" s="112"/>
      <c r="EQ20" s="112"/>
      <c r="ES20" s="99">
        <v>519000</v>
      </c>
      <c r="ET20" s="111">
        <f>ES20/AI20</f>
        <v>495.70200573065904</v>
      </c>
      <c r="EV20" s="29">
        <v>35</v>
      </c>
      <c r="EW20">
        <v>50</v>
      </c>
      <c r="EX20" s="29"/>
      <c r="FA20" t="s">
        <v>175</v>
      </c>
      <c r="FB20" t="s">
        <v>176</v>
      </c>
      <c r="FE20" t="s">
        <v>177</v>
      </c>
      <c r="FI20" s="29" t="s">
        <v>38</v>
      </c>
      <c r="FL20" s="29"/>
      <c r="FM20" t="s">
        <v>153</v>
      </c>
      <c r="FR20" s="29"/>
      <c r="FU20" t="s">
        <v>161</v>
      </c>
      <c r="FX20" s="29"/>
      <c r="FY20" t="s">
        <v>159</v>
      </c>
      <c r="GD20" s="29"/>
      <c r="GE20" s="29"/>
      <c r="GI20" s="29"/>
    </row>
    <row r="21" spans="1:191" ht="15.75">
      <c r="A21" s="228" t="s">
        <v>639</v>
      </c>
      <c r="B21" s="29" t="s">
        <v>382</v>
      </c>
      <c r="D21" s="14"/>
      <c r="E21" s="5" t="s">
        <v>729</v>
      </c>
      <c r="F21" s="5"/>
      <c r="G21" s="5" t="s">
        <v>730</v>
      </c>
      <c r="H21" s="5" t="s">
        <v>714</v>
      </c>
      <c r="I21" s="6" t="s">
        <v>731</v>
      </c>
      <c r="J21" s="5"/>
      <c r="K21" s="20"/>
      <c r="L21">
        <v>0.22700000000000001</v>
      </c>
      <c r="M21">
        <v>0.22700000000000001</v>
      </c>
      <c r="N21" s="4">
        <v>0.3</v>
      </c>
      <c r="O21">
        <v>0.3</v>
      </c>
      <c r="P21">
        <v>5400</v>
      </c>
      <c r="Q21" s="67">
        <f>L21*1000000/P21</f>
        <v>42.037037037037038</v>
      </c>
      <c r="R21" t="s">
        <v>38</v>
      </c>
      <c r="U21" t="s">
        <v>38</v>
      </c>
      <c r="W21" t="s">
        <v>383</v>
      </c>
      <c r="Y21" t="s">
        <v>39</v>
      </c>
      <c r="AC21" s="29"/>
      <c r="AI21" s="33">
        <f>8.35/2000*AP21/100*AO21</f>
        <v>51.147424000000001</v>
      </c>
      <c r="AJ21" s="119">
        <f t="shared" si="0"/>
        <v>225.31904845814978</v>
      </c>
      <c r="AK21" s="31">
        <f>AI21*0.907185</f>
        <v>46.400175841440003</v>
      </c>
      <c r="AO21" s="34">
        <v>765680</v>
      </c>
      <c r="AP21" s="34">
        <v>1.6</v>
      </c>
      <c r="AQ21" s="148" t="s">
        <v>38</v>
      </c>
      <c r="AR21" s="73"/>
      <c r="AS21" s="70"/>
      <c r="AT21" s="29"/>
      <c r="AV21" s="34">
        <f>AI21</f>
        <v>51.147424000000001</v>
      </c>
      <c r="AZ21" s="34" t="s">
        <v>1104</v>
      </c>
      <c r="BA21" s="29"/>
      <c r="BD21" s="75"/>
      <c r="BE21" s="29"/>
      <c r="BH21" s="75"/>
      <c r="BI21" s="75"/>
      <c r="BJ21" s="75"/>
      <c r="BK21" s="75"/>
      <c r="BL21" s="75"/>
      <c r="BM21" s="75"/>
      <c r="BN21" s="75"/>
      <c r="BO21" s="75"/>
      <c r="BP21" s="75"/>
      <c r="BQ21" s="29"/>
      <c r="BR21" s="29"/>
      <c r="CC21" s="29"/>
      <c r="CX21" s="29"/>
      <c r="DA21" s="29"/>
      <c r="DD21" s="29"/>
      <c r="DH21" s="29"/>
      <c r="DS21" s="29"/>
      <c r="EE21" s="29"/>
      <c r="EL21" s="99"/>
      <c r="EM21" s="112"/>
      <c r="EN21" s="112"/>
      <c r="EO21" s="112"/>
      <c r="EP21" s="112"/>
      <c r="EQ21" s="112"/>
      <c r="ES21" s="99"/>
      <c r="ET21" s="111"/>
      <c r="EV21" s="29"/>
      <c r="EX21" s="29"/>
      <c r="FI21" s="29"/>
      <c r="FL21" s="29"/>
      <c r="FR21" s="29"/>
      <c r="FX21" s="29"/>
      <c r="GD21" s="29"/>
      <c r="GE21" s="29"/>
      <c r="GI21" s="29"/>
    </row>
    <row r="22" spans="1:191" ht="15.75">
      <c r="A22" s="228" t="s">
        <v>1022</v>
      </c>
      <c r="B22" s="29"/>
      <c r="D22" s="14"/>
      <c r="E22" s="5"/>
      <c r="F22" s="5"/>
      <c r="G22" s="5"/>
      <c r="H22" s="5"/>
      <c r="I22" s="6"/>
      <c r="J22" s="5"/>
      <c r="K22" s="20"/>
      <c r="L22" s="50">
        <v>0.3</v>
      </c>
      <c r="M22" s="50"/>
      <c r="N22" s="61">
        <v>0.3</v>
      </c>
      <c r="O22" s="50"/>
      <c r="Q22" s="67"/>
      <c r="AC22" s="29"/>
      <c r="AI22" s="33">
        <f>1.10231162684681*AK22</f>
        <v>86.641693870159258</v>
      </c>
      <c r="AJ22" s="119">
        <f t="shared" si="0"/>
        <v>288.80564623386419</v>
      </c>
      <c r="AK22" s="47">
        <v>78.599999999999994</v>
      </c>
      <c r="AQ22" s="148" t="s">
        <v>38</v>
      </c>
      <c r="AR22" s="73">
        <v>78.599999999999994</v>
      </c>
      <c r="AS22" s="70">
        <v>72.33</v>
      </c>
      <c r="AT22" s="29"/>
      <c r="AU22" s="34">
        <f>AI22</f>
        <v>86.641693870159258</v>
      </c>
      <c r="AZ22" s="34" t="s">
        <v>1105</v>
      </c>
      <c r="BA22" s="29"/>
      <c r="BD22" s="75"/>
      <c r="BE22" s="29"/>
      <c r="BH22" s="75"/>
      <c r="BI22" s="75"/>
      <c r="BJ22" s="75"/>
      <c r="BK22" s="75"/>
      <c r="BL22" s="75"/>
      <c r="BM22" s="75"/>
      <c r="BN22" s="75"/>
      <c r="BO22" s="75"/>
      <c r="BP22" s="75"/>
      <c r="BQ22" s="29"/>
      <c r="BR22" s="29"/>
      <c r="CC22" s="29"/>
      <c r="CX22" s="29"/>
      <c r="DA22" s="29"/>
      <c r="DD22" s="29"/>
      <c r="DH22" s="29"/>
      <c r="DS22" s="29"/>
      <c r="EE22" s="29"/>
      <c r="EL22" s="99"/>
      <c r="EM22" s="112"/>
      <c r="EN22" s="112"/>
      <c r="EO22" s="112"/>
      <c r="EP22" s="112"/>
      <c r="EQ22" s="112"/>
      <c r="ES22" s="99"/>
      <c r="ET22" s="111"/>
      <c r="EV22" s="29"/>
      <c r="EX22" s="29"/>
      <c r="FI22" s="29"/>
      <c r="FL22" s="29"/>
      <c r="FR22" s="29"/>
      <c r="FX22" s="29"/>
      <c r="GD22" s="29"/>
      <c r="GE22" s="29"/>
      <c r="GI22" s="29"/>
    </row>
    <row r="23" spans="1:191" ht="15.75">
      <c r="A23" s="228" t="s">
        <v>640</v>
      </c>
      <c r="B23" s="29" t="s">
        <v>494</v>
      </c>
      <c r="D23" s="5"/>
      <c r="E23" s="5" t="s">
        <v>732</v>
      </c>
      <c r="F23" s="5"/>
      <c r="G23" s="5" t="s">
        <v>733</v>
      </c>
      <c r="H23" s="5" t="s">
        <v>724</v>
      </c>
      <c r="I23" s="6" t="s">
        <v>734</v>
      </c>
      <c r="J23" s="5"/>
      <c r="K23" s="20"/>
      <c r="L23">
        <v>4.2</v>
      </c>
      <c r="M23">
        <v>4.2</v>
      </c>
      <c r="N23" s="4">
        <v>5.5</v>
      </c>
      <c r="O23">
        <v>5.5</v>
      </c>
      <c r="P23">
        <v>43000</v>
      </c>
      <c r="Q23" s="67">
        <f>L23*1000000/P23</f>
        <v>97.674418604651166</v>
      </c>
      <c r="R23" t="s">
        <v>38</v>
      </c>
      <c r="T23" t="s">
        <v>495</v>
      </c>
      <c r="U23" t="s">
        <v>38</v>
      </c>
      <c r="W23" t="s">
        <v>496</v>
      </c>
      <c r="X23" t="s">
        <v>38</v>
      </c>
      <c r="AC23" s="29" t="s">
        <v>44</v>
      </c>
      <c r="AI23" s="29">
        <v>1575</v>
      </c>
      <c r="AJ23" s="119">
        <f t="shared" si="0"/>
        <v>375</v>
      </c>
      <c r="AK23" s="32">
        <f>AI23*0.907185</f>
        <v>1428.8163750000001</v>
      </c>
      <c r="AP23">
        <v>25</v>
      </c>
      <c r="AQ23" s="148" t="s">
        <v>38</v>
      </c>
      <c r="AR23" s="73"/>
      <c r="AS23" s="70"/>
      <c r="AT23" s="29"/>
      <c r="AV23">
        <v>700</v>
      </c>
      <c r="AY23" s="78">
        <v>875</v>
      </c>
      <c r="AZ23" s="78" t="s">
        <v>497</v>
      </c>
      <c r="BA23" s="29"/>
      <c r="BB23" t="s">
        <v>39</v>
      </c>
      <c r="BD23" s="75">
        <v>0</v>
      </c>
      <c r="BE23" s="29"/>
      <c r="BF23" t="s">
        <v>39</v>
      </c>
      <c r="BH23" s="75"/>
      <c r="BI23" s="75"/>
      <c r="BJ23" s="75"/>
      <c r="BK23" s="75"/>
      <c r="BL23" s="75"/>
      <c r="BM23" s="75"/>
      <c r="BN23" s="75"/>
      <c r="BO23" s="75"/>
      <c r="BP23" s="75"/>
      <c r="BQ23" s="29">
        <v>40</v>
      </c>
      <c r="BR23" s="29" t="s">
        <v>71</v>
      </c>
      <c r="BS23" t="s">
        <v>72</v>
      </c>
      <c r="CC23" s="29"/>
      <c r="CD23" t="s">
        <v>170</v>
      </c>
      <c r="CK23" t="s">
        <v>170</v>
      </c>
      <c r="CW23" t="s">
        <v>203</v>
      </c>
      <c r="CX23" s="29"/>
      <c r="CZ23" t="s">
        <v>105</v>
      </c>
      <c r="DA23" s="29" t="s">
        <v>106</v>
      </c>
      <c r="DD23" s="29"/>
      <c r="DG23">
        <v>100</v>
      </c>
      <c r="DH23" s="29"/>
      <c r="DL23" t="s">
        <v>116</v>
      </c>
      <c r="DS23" s="29"/>
      <c r="EC23" t="s">
        <v>498</v>
      </c>
      <c r="EE23" s="29"/>
      <c r="EJ23">
        <v>100</v>
      </c>
      <c r="EL23" s="99"/>
      <c r="EM23" s="112"/>
      <c r="EN23" s="112"/>
      <c r="EO23" s="112"/>
      <c r="EP23" s="112"/>
      <c r="EQ23" s="112">
        <v>83</v>
      </c>
      <c r="ES23" s="99">
        <v>530000</v>
      </c>
      <c r="ET23" s="111">
        <f>ES23/AI23</f>
        <v>336.50793650793651</v>
      </c>
      <c r="EV23" s="29">
        <v>20</v>
      </c>
      <c r="EW23">
        <v>20</v>
      </c>
      <c r="EX23" s="29"/>
      <c r="FI23" s="29" t="s">
        <v>38</v>
      </c>
      <c r="FL23" s="29"/>
      <c r="FM23" t="s">
        <v>153</v>
      </c>
      <c r="FQ23" t="s">
        <v>499</v>
      </c>
      <c r="FR23" s="29"/>
      <c r="FV23" t="s">
        <v>162</v>
      </c>
      <c r="FW23" s="40" t="s">
        <v>500</v>
      </c>
      <c r="FX23" s="29" t="s">
        <v>158</v>
      </c>
      <c r="GC23" t="s">
        <v>501</v>
      </c>
      <c r="GD23" s="29"/>
      <c r="GE23" s="29"/>
      <c r="GI23" s="29"/>
    </row>
    <row r="24" spans="1:191" ht="31.5">
      <c r="A24" s="295" t="s">
        <v>1043</v>
      </c>
      <c r="B24" s="29"/>
      <c r="D24" s="14"/>
      <c r="E24" s="5"/>
      <c r="F24" s="5"/>
      <c r="G24" s="5"/>
      <c r="H24" s="5"/>
      <c r="I24" s="6"/>
      <c r="J24" s="14"/>
      <c r="K24" s="21"/>
      <c r="L24" s="52">
        <v>0.1</v>
      </c>
      <c r="M24" s="52"/>
      <c r="N24" s="62">
        <v>0.1</v>
      </c>
      <c r="O24" s="52"/>
      <c r="Q24" s="67"/>
      <c r="AC24" s="29"/>
      <c r="AI24" s="56">
        <v>83.3</v>
      </c>
      <c r="AJ24" s="119">
        <f t="shared" si="0"/>
        <v>832.99999999999989</v>
      </c>
      <c r="AK24" s="32">
        <f>AI24*0.907185</f>
        <v>75.568510500000002</v>
      </c>
      <c r="AQ24" s="148"/>
      <c r="AR24" s="73"/>
      <c r="AS24" s="70"/>
      <c r="AT24" s="29"/>
      <c r="AU24">
        <f>AI24</f>
        <v>83.3</v>
      </c>
      <c r="AZ24" s="34" t="s">
        <v>1106</v>
      </c>
      <c r="BA24" s="29"/>
      <c r="BD24" s="75"/>
      <c r="BE24" s="29"/>
      <c r="BH24" s="75"/>
      <c r="BI24" s="75"/>
      <c r="BJ24" s="75"/>
      <c r="BK24" s="75"/>
      <c r="BL24" s="75"/>
      <c r="BM24" s="75"/>
      <c r="BN24" s="75"/>
      <c r="BO24" s="75"/>
      <c r="BP24" s="75"/>
      <c r="BQ24" s="29"/>
      <c r="BR24" s="29"/>
      <c r="CC24" s="29"/>
      <c r="CX24" s="29"/>
      <c r="DA24" s="29"/>
      <c r="DD24" s="29"/>
      <c r="DH24" s="29"/>
      <c r="DS24" s="29"/>
      <c r="EE24" s="29"/>
      <c r="EL24" s="99"/>
      <c r="EM24" s="112"/>
      <c r="EN24" s="112"/>
      <c r="EO24" s="112"/>
      <c r="EP24" s="112"/>
      <c r="EQ24" s="112"/>
      <c r="ES24" s="99"/>
      <c r="ET24" s="111"/>
      <c r="EV24" s="29"/>
      <c r="EX24" s="29"/>
      <c r="FI24" s="29"/>
      <c r="FL24" s="29"/>
      <c r="FR24" s="29"/>
      <c r="FX24" s="29"/>
      <c r="GD24" s="29"/>
      <c r="GE24" s="29"/>
      <c r="GI24" s="29"/>
    </row>
    <row r="25" spans="1:191" ht="15.75">
      <c r="A25" s="228" t="s">
        <v>641</v>
      </c>
      <c r="B25" s="29" t="s">
        <v>294</v>
      </c>
      <c r="D25" s="14"/>
      <c r="E25" s="5" t="s">
        <v>735</v>
      </c>
      <c r="F25" s="5"/>
      <c r="G25" s="5" t="s">
        <v>736</v>
      </c>
      <c r="H25" s="5" t="s">
        <v>724</v>
      </c>
      <c r="I25" s="6" t="s">
        <v>1323</v>
      </c>
      <c r="J25" s="14"/>
      <c r="K25" s="21"/>
      <c r="L25">
        <v>1.3</v>
      </c>
      <c r="M25">
        <v>1.3</v>
      </c>
      <c r="N25" s="4">
        <v>1.44</v>
      </c>
      <c r="O25">
        <v>1.44</v>
      </c>
      <c r="P25">
        <v>25000</v>
      </c>
      <c r="Q25" s="67">
        <f>L25*1000000/P25</f>
        <v>52</v>
      </c>
      <c r="R25" t="s">
        <v>38</v>
      </c>
      <c r="T25" t="s">
        <v>295</v>
      </c>
      <c r="U25" t="s">
        <v>38</v>
      </c>
      <c r="W25" t="s">
        <v>296</v>
      </c>
      <c r="Y25" t="s">
        <v>39</v>
      </c>
      <c r="AC25" s="29"/>
      <c r="AD25" t="s">
        <v>45</v>
      </c>
      <c r="AI25" s="33">
        <f>1.10231162684681*AK25</f>
        <v>380.29751126214944</v>
      </c>
      <c r="AJ25" s="119">
        <f t="shared" si="0"/>
        <v>292.5365471247303</v>
      </c>
      <c r="AK25">
        <v>345</v>
      </c>
      <c r="AP25">
        <v>27</v>
      </c>
      <c r="AQ25" s="148" t="s">
        <v>38</v>
      </c>
      <c r="AR25" s="73">
        <v>354</v>
      </c>
      <c r="AS25" s="70">
        <v>356</v>
      </c>
      <c r="AT25" s="86">
        <f>AI25</f>
        <v>380.29751126214944</v>
      </c>
      <c r="AZ25" t="s">
        <v>297</v>
      </c>
      <c r="BA25" s="29" t="s">
        <v>38</v>
      </c>
      <c r="BD25" s="75">
        <v>5000000</v>
      </c>
      <c r="BE25" s="29"/>
      <c r="BF25" t="s">
        <v>39</v>
      </c>
      <c r="BH25" s="75"/>
      <c r="BI25" s="75"/>
      <c r="BJ25" s="75"/>
      <c r="BK25" s="75"/>
      <c r="BL25" s="75"/>
      <c r="BM25" s="75"/>
      <c r="BN25" s="75"/>
      <c r="BO25" s="75"/>
      <c r="BP25" s="75"/>
      <c r="BQ25" s="29">
        <v>50</v>
      </c>
      <c r="BR25" s="29"/>
      <c r="BS25" t="s">
        <v>72</v>
      </c>
      <c r="BX25" t="s">
        <v>77</v>
      </c>
      <c r="CC25" s="29" t="s">
        <v>180</v>
      </c>
      <c r="CJ25" t="s">
        <v>196</v>
      </c>
      <c r="CU25" t="s">
        <v>187</v>
      </c>
      <c r="CX25" s="29"/>
      <c r="CY25" t="s">
        <v>104</v>
      </c>
      <c r="DA25" s="29" t="s">
        <v>106</v>
      </c>
      <c r="DD25" s="29">
        <v>100</v>
      </c>
      <c r="DH25" s="29"/>
      <c r="DL25" t="s">
        <v>116</v>
      </c>
      <c r="DS25" s="29" t="s">
        <v>123</v>
      </c>
      <c r="EE25" s="29">
        <v>100</v>
      </c>
      <c r="EL25" s="99">
        <v>100</v>
      </c>
      <c r="EM25" s="112"/>
      <c r="EN25" s="112"/>
      <c r="EO25" s="112"/>
      <c r="EP25" s="112"/>
      <c r="EQ25" s="112"/>
      <c r="ES25" s="99"/>
      <c r="ET25" s="111"/>
      <c r="EV25" s="29">
        <v>30</v>
      </c>
      <c r="EW25">
        <v>50</v>
      </c>
      <c r="EX25" s="29"/>
      <c r="FC25" t="s">
        <v>298</v>
      </c>
      <c r="FI25" s="29"/>
      <c r="FJ25" t="s">
        <v>39</v>
      </c>
      <c r="FL25" s="29"/>
      <c r="FP25" t="s">
        <v>156</v>
      </c>
      <c r="FR25" s="29"/>
      <c r="FU25" t="s">
        <v>161</v>
      </c>
      <c r="FX25" s="29"/>
      <c r="FY25" t="s">
        <v>159</v>
      </c>
      <c r="GD25" s="29"/>
      <c r="GE25" s="29"/>
      <c r="GI25" s="29"/>
    </row>
    <row r="26" spans="1:191" ht="15.75">
      <c r="A26" s="228" t="s">
        <v>642</v>
      </c>
      <c r="B26" s="29" t="s">
        <v>167</v>
      </c>
      <c r="D26" s="14"/>
      <c r="E26" s="5" t="s">
        <v>737</v>
      </c>
      <c r="F26" s="5"/>
      <c r="G26" s="5" t="s">
        <v>738</v>
      </c>
      <c r="H26" s="5" t="s">
        <v>714</v>
      </c>
      <c r="I26" s="6">
        <v>2301</v>
      </c>
      <c r="J26" s="14"/>
      <c r="K26" s="20"/>
      <c r="L26">
        <v>16</v>
      </c>
      <c r="M26">
        <v>16</v>
      </c>
      <c r="N26" s="4">
        <v>20.49</v>
      </c>
      <c r="O26">
        <v>20.49</v>
      </c>
      <c r="P26">
        <v>100000</v>
      </c>
      <c r="Q26" s="67">
        <f>L26*1000000/P26</f>
        <v>160</v>
      </c>
      <c r="R26" t="s">
        <v>38</v>
      </c>
      <c r="T26" t="s">
        <v>168</v>
      </c>
      <c r="U26" t="s">
        <v>38</v>
      </c>
      <c r="W26" t="s">
        <v>169</v>
      </c>
      <c r="X26" t="s">
        <v>38</v>
      </c>
      <c r="AC26" s="29" t="s">
        <v>44</v>
      </c>
      <c r="AI26" s="29">
        <v>4950</v>
      </c>
      <c r="AJ26" s="119">
        <f t="shared" si="0"/>
        <v>309.375</v>
      </c>
      <c r="AK26" s="32">
        <f>AI26*0.907185</f>
        <v>4490.5657499999998</v>
      </c>
      <c r="AP26">
        <v>28</v>
      </c>
      <c r="AQ26" s="148" t="s">
        <v>38</v>
      </c>
      <c r="AR26" s="73">
        <v>4307.62</v>
      </c>
      <c r="AS26" s="70"/>
      <c r="AT26" s="29"/>
      <c r="AU26">
        <v>4750</v>
      </c>
      <c r="AV26">
        <v>200</v>
      </c>
      <c r="BA26" s="29" t="s">
        <v>38</v>
      </c>
      <c r="BD26" s="75">
        <v>5000</v>
      </c>
      <c r="BE26" s="29"/>
      <c r="BF26" t="s">
        <v>39</v>
      </c>
      <c r="BH26" s="75"/>
      <c r="BI26" s="75"/>
      <c r="BJ26" s="75"/>
      <c r="BK26" s="75"/>
      <c r="BL26" s="75"/>
      <c r="BM26" s="75"/>
      <c r="BN26" s="75"/>
      <c r="BO26" s="75"/>
      <c r="BP26" s="75"/>
      <c r="BQ26" s="29">
        <v>50</v>
      </c>
      <c r="BR26" s="29" t="s">
        <v>71</v>
      </c>
      <c r="BS26" t="s">
        <v>72</v>
      </c>
      <c r="CC26" s="29"/>
      <c r="CD26" t="s">
        <v>170</v>
      </c>
      <c r="CL26" t="s">
        <v>171</v>
      </c>
      <c r="CT26" t="s">
        <v>172</v>
      </c>
      <c r="CX26" s="29"/>
      <c r="CZ26" t="s">
        <v>105</v>
      </c>
      <c r="DA26" s="29"/>
      <c r="DC26" t="s">
        <v>43</v>
      </c>
      <c r="DD26" s="29"/>
      <c r="DH26" s="29"/>
      <c r="DS26" s="29"/>
      <c r="DV26" t="s">
        <v>126</v>
      </c>
      <c r="EE26" s="29"/>
      <c r="EL26" s="99"/>
      <c r="EM26" s="112"/>
      <c r="EN26" s="112"/>
      <c r="EO26" s="112"/>
      <c r="EP26" s="112"/>
      <c r="EQ26" s="112"/>
      <c r="ES26" s="99"/>
      <c r="ET26" s="111"/>
      <c r="EV26" s="29"/>
      <c r="EX26" s="29"/>
      <c r="FI26" s="29"/>
      <c r="FL26" s="29"/>
      <c r="FR26" s="29"/>
      <c r="FX26" s="29"/>
      <c r="GD26" s="29"/>
      <c r="GE26" s="29"/>
      <c r="GI26" s="29"/>
    </row>
    <row r="27" spans="1:191" ht="31.5">
      <c r="A27" s="228" t="s">
        <v>1023</v>
      </c>
      <c r="B27" s="29"/>
      <c r="D27" s="14"/>
      <c r="E27" s="48"/>
      <c r="F27" s="5"/>
      <c r="G27" s="5"/>
      <c r="H27" s="5"/>
      <c r="I27" s="6"/>
      <c r="J27" s="14"/>
      <c r="K27" s="20"/>
      <c r="L27" s="51">
        <v>0.33</v>
      </c>
      <c r="M27" s="51"/>
      <c r="N27" s="63">
        <v>0.33</v>
      </c>
      <c r="O27" s="51"/>
      <c r="Q27" s="67"/>
      <c r="AC27" s="29"/>
      <c r="AI27" s="56">
        <v>22.7</v>
      </c>
      <c r="AJ27" s="119">
        <f t="shared" si="0"/>
        <v>68.787878787878782</v>
      </c>
      <c r="AK27" s="32">
        <f>AI27*0.907185</f>
        <v>20.593099500000001</v>
      </c>
      <c r="AQ27" s="148"/>
      <c r="AR27" s="73"/>
      <c r="AS27" s="70"/>
      <c r="AT27" s="29"/>
      <c r="AV27" s="34">
        <f>AI27</f>
        <v>22.7</v>
      </c>
      <c r="AZ27" s="34" t="s">
        <v>1107</v>
      </c>
      <c r="BA27" s="29"/>
      <c r="BD27" s="75"/>
      <c r="BE27" s="29"/>
      <c r="BH27" s="75"/>
      <c r="BI27" s="75"/>
      <c r="BJ27" s="75"/>
      <c r="BK27" s="75"/>
      <c r="BL27" s="75"/>
      <c r="BM27" s="75"/>
      <c r="BN27" s="75"/>
      <c r="BO27" s="75"/>
      <c r="BP27" s="75"/>
      <c r="BQ27" s="29"/>
      <c r="BR27" s="29"/>
      <c r="CC27" s="29"/>
      <c r="CX27" s="29"/>
      <c r="DA27" s="29"/>
      <c r="DD27" s="29"/>
      <c r="DH27" s="29"/>
      <c r="DS27" s="29"/>
      <c r="EE27" s="29"/>
      <c r="EL27" s="99"/>
      <c r="EM27" s="112"/>
      <c r="EN27" s="112"/>
      <c r="EO27" s="112"/>
      <c r="EP27" s="112"/>
      <c r="EQ27" s="112"/>
      <c r="ES27" s="99"/>
      <c r="ET27" s="111"/>
      <c r="EV27" s="29"/>
      <c r="EX27" s="29"/>
      <c r="FI27" s="29"/>
      <c r="FL27" s="29"/>
      <c r="FR27" s="29"/>
      <c r="FX27" s="29"/>
      <c r="GD27" s="29"/>
      <c r="GE27" s="29"/>
      <c r="GI27" s="29"/>
    </row>
    <row r="28" spans="1:191" ht="15.75">
      <c r="A28" s="295" t="s">
        <v>1050</v>
      </c>
      <c r="B28" s="29"/>
      <c r="D28" s="5"/>
      <c r="E28" s="108"/>
      <c r="F28" s="7"/>
      <c r="G28" s="5"/>
      <c r="H28" s="5"/>
      <c r="I28" s="6"/>
      <c r="J28" s="5"/>
      <c r="K28" s="20"/>
      <c r="L28" s="53">
        <v>0.05</v>
      </c>
      <c r="M28" s="53"/>
      <c r="N28" s="64">
        <v>0.05</v>
      </c>
      <c r="O28" s="53"/>
      <c r="P28" s="2"/>
      <c r="Q28" s="67"/>
      <c r="AC28" s="29"/>
      <c r="AI28" s="33">
        <f>8.35/2000*AP28/100*AO28</f>
        <v>2.4047999999999998</v>
      </c>
      <c r="AJ28" s="119">
        <f t="shared" si="0"/>
        <v>48.095999999999997</v>
      </c>
      <c r="AK28" s="32">
        <f>AI28*0.907185</f>
        <v>2.1815984879999997</v>
      </c>
      <c r="AO28" s="59">
        <v>18000</v>
      </c>
      <c r="AP28" s="52">
        <v>3.2</v>
      </c>
      <c r="AQ28" s="149"/>
      <c r="AR28" s="73"/>
      <c r="AS28" s="70"/>
      <c r="AT28" s="29"/>
      <c r="AU28" s="34">
        <f>AI28</f>
        <v>2.4047999999999998</v>
      </c>
      <c r="AZ28" s="34" t="s">
        <v>1108</v>
      </c>
      <c r="BA28" s="29"/>
      <c r="BD28" s="75"/>
      <c r="BE28" s="29"/>
      <c r="BH28" s="75"/>
      <c r="BI28" s="75"/>
      <c r="BJ28" s="75"/>
      <c r="BK28" s="75"/>
      <c r="BL28" s="75"/>
      <c r="BM28" s="75"/>
      <c r="BN28" s="75"/>
      <c r="BO28" s="75"/>
      <c r="BP28" s="75"/>
      <c r="BQ28" s="29"/>
      <c r="BR28" s="29"/>
      <c r="CC28" s="29"/>
      <c r="CX28" s="29"/>
      <c r="DA28" s="29"/>
      <c r="DD28" s="29"/>
      <c r="DH28" s="29"/>
      <c r="DS28" s="29"/>
      <c r="EE28" s="29"/>
      <c r="EL28" s="99"/>
      <c r="EM28" s="112"/>
      <c r="EN28" s="112"/>
      <c r="EO28" s="112"/>
      <c r="EP28" s="112"/>
      <c r="EQ28" s="112"/>
      <c r="ES28" s="99"/>
      <c r="ET28" s="111"/>
      <c r="EV28" s="29"/>
      <c r="EX28" s="29"/>
      <c r="FI28" s="29"/>
      <c r="FL28" s="29"/>
      <c r="FR28" s="29"/>
      <c r="FX28" s="29"/>
      <c r="GD28" s="29"/>
      <c r="GE28" s="29"/>
      <c r="GI28" s="29"/>
    </row>
    <row r="29" spans="1:191" ht="15.75">
      <c r="A29" s="228" t="s">
        <v>643</v>
      </c>
      <c r="B29" s="29" t="s">
        <v>391</v>
      </c>
      <c r="D29" s="5"/>
      <c r="E29" s="108" t="s">
        <v>977</v>
      </c>
      <c r="F29" s="7"/>
      <c r="G29" s="5" t="s">
        <v>739</v>
      </c>
      <c r="H29" s="5" t="s">
        <v>714</v>
      </c>
      <c r="I29" s="6" t="s">
        <v>740</v>
      </c>
      <c r="J29" s="5"/>
      <c r="K29" s="20"/>
      <c r="L29">
        <v>5.5</v>
      </c>
      <c r="M29">
        <v>5.5</v>
      </c>
      <c r="N29" s="4">
        <v>5.7</v>
      </c>
      <c r="O29">
        <v>5.7</v>
      </c>
      <c r="P29" s="2">
        <f>L29*1000000/60</f>
        <v>91666.666666666672</v>
      </c>
      <c r="Q29" s="67">
        <f>L29*1000000/P29</f>
        <v>60</v>
      </c>
      <c r="R29" t="s">
        <v>38</v>
      </c>
      <c r="T29" t="s">
        <v>392</v>
      </c>
      <c r="U29" t="s">
        <v>38</v>
      </c>
      <c r="W29" t="s">
        <v>393</v>
      </c>
      <c r="X29" t="s">
        <v>38</v>
      </c>
      <c r="AC29" s="29"/>
      <c r="AD29" t="s">
        <v>45</v>
      </c>
      <c r="AI29" s="33">
        <f>1.10231162684681*AK29</f>
        <v>2302.7289884829861</v>
      </c>
      <c r="AJ29" s="119">
        <f t="shared" si="0"/>
        <v>418.67799790599747</v>
      </c>
      <c r="AK29">
        <v>2089</v>
      </c>
      <c r="AP29">
        <v>6</v>
      </c>
      <c r="AQ29" s="148" t="s">
        <v>38</v>
      </c>
      <c r="AR29" s="73">
        <v>1742</v>
      </c>
      <c r="AS29" s="70">
        <v>1922</v>
      </c>
      <c r="AT29" s="29"/>
      <c r="AU29" s="32">
        <f>1.10231162684681*2089</f>
        <v>2302.7289884829861</v>
      </c>
      <c r="BA29" s="29" t="s">
        <v>38</v>
      </c>
      <c r="BD29" s="75">
        <v>6650000</v>
      </c>
      <c r="BE29" s="29"/>
      <c r="BF29" t="s">
        <v>39</v>
      </c>
      <c r="BH29" s="75"/>
      <c r="BI29" s="75"/>
      <c r="BJ29" s="75"/>
      <c r="BK29" s="75"/>
      <c r="BL29" s="75"/>
      <c r="BM29" s="75"/>
      <c r="BN29" s="75"/>
      <c r="BO29" s="75"/>
      <c r="BP29" s="75"/>
      <c r="BQ29" s="29">
        <v>65</v>
      </c>
      <c r="BR29" s="29"/>
      <c r="BS29" t="s">
        <v>72</v>
      </c>
      <c r="CC29" s="29"/>
      <c r="CE29" t="s">
        <v>171</v>
      </c>
      <c r="CL29" t="s">
        <v>171</v>
      </c>
      <c r="CS29" t="s">
        <v>171</v>
      </c>
      <c r="CX29" s="29"/>
      <c r="CZ29" t="s">
        <v>105</v>
      </c>
      <c r="DA29" s="29" t="s">
        <v>106</v>
      </c>
      <c r="DD29" s="29"/>
      <c r="DG29">
        <v>100</v>
      </c>
      <c r="DH29" s="29"/>
      <c r="DS29" s="29"/>
      <c r="DY29" t="s">
        <v>129</v>
      </c>
      <c r="EE29" s="29"/>
      <c r="EH29">
        <v>100</v>
      </c>
      <c r="EL29" s="99"/>
      <c r="EM29" s="112"/>
      <c r="EN29" s="112"/>
      <c r="EO29" s="112">
        <v>29</v>
      </c>
      <c r="EP29" s="112"/>
      <c r="EQ29" s="112"/>
      <c r="ES29" s="99">
        <v>1023000</v>
      </c>
      <c r="ET29" s="111">
        <f>ES29/AI29</f>
        <v>444.25549212108621</v>
      </c>
      <c r="EV29" s="29">
        <v>10</v>
      </c>
      <c r="EW29">
        <v>20</v>
      </c>
      <c r="EX29" s="29"/>
      <c r="FI29" s="29" t="s">
        <v>38</v>
      </c>
      <c r="FL29" s="29"/>
      <c r="FN29" t="s">
        <v>154</v>
      </c>
      <c r="FR29" s="29"/>
      <c r="FT29" t="s">
        <v>160</v>
      </c>
      <c r="FX29" s="29"/>
      <c r="FY29" t="s">
        <v>159</v>
      </c>
      <c r="GD29" s="29"/>
      <c r="GE29" s="29"/>
      <c r="GI29" s="29"/>
    </row>
    <row r="30" spans="1:191" ht="45">
      <c r="A30" s="228" t="s">
        <v>644</v>
      </c>
      <c r="B30" s="29" t="s">
        <v>376</v>
      </c>
      <c r="D30" s="14"/>
      <c r="E30" s="5" t="s">
        <v>741</v>
      </c>
      <c r="F30" s="5"/>
      <c r="G30" s="5" t="s">
        <v>742</v>
      </c>
      <c r="H30" s="5" t="s">
        <v>714</v>
      </c>
      <c r="I30" s="6" t="s">
        <v>743</v>
      </c>
      <c r="J30" s="5"/>
      <c r="K30" s="20"/>
      <c r="L30">
        <v>0.253</v>
      </c>
      <c r="M30">
        <v>0.253</v>
      </c>
      <c r="N30" s="4">
        <v>0.45</v>
      </c>
      <c r="O30">
        <v>0.45</v>
      </c>
      <c r="P30">
        <v>1846</v>
      </c>
      <c r="Q30" s="67">
        <f>L30*1000000/P30</f>
        <v>137.05308775731311</v>
      </c>
      <c r="S30" t="s">
        <v>39</v>
      </c>
      <c r="U30" t="s">
        <v>38</v>
      </c>
      <c r="W30" t="s">
        <v>377</v>
      </c>
      <c r="Y30" t="s">
        <v>39</v>
      </c>
      <c r="AC30" s="29" t="s">
        <v>44</v>
      </c>
      <c r="AI30" s="29">
        <v>120</v>
      </c>
      <c r="AJ30" s="119">
        <f t="shared" si="0"/>
        <v>474.30830039525694</v>
      </c>
      <c r="AK30" s="32">
        <f>AI30*0.907185</f>
        <v>108.8622</v>
      </c>
      <c r="AP30">
        <v>4</v>
      </c>
      <c r="AQ30" s="148"/>
      <c r="AR30" s="73"/>
      <c r="AS30" s="70"/>
      <c r="AT30" s="29"/>
      <c r="AU30">
        <v>120</v>
      </c>
      <c r="BA30" s="29"/>
      <c r="BB30" t="s">
        <v>39</v>
      </c>
      <c r="BD30" s="75"/>
      <c r="BE30" s="29"/>
      <c r="BF30" t="s">
        <v>39</v>
      </c>
      <c r="BH30" s="75"/>
      <c r="BI30" s="75"/>
      <c r="BJ30" s="75"/>
      <c r="BK30" s="75"/>
      <c r="BL30" s="75"/>
      <c r="BM30" s="75"/>
      <c r="BN30" s="75"/>
      <c r="BO30" s="75"/>
      <c r="BP30" s="75"/>
      <c r="BQ30" s="29"/>
      <c r="BR30" s="29"/>
      <c r="CB30" t="s">
        <v>378</v>
      </c>
      <c r="CC30" s="29" t="s">
        <v>180</v>
      </c>
      <c r="CP30" t="s">
        <v>203</v>
      </c>
      <c r="CQ30" t="s">
        <v>181</v>
      </c>
      <c r="CX30" s="29"/>
      <c r="CY30" t="s">
        <v>104</v>
      </c>
      <c r="DA30" s="29" t="s">
        <v>106</v>
      </c>
      <c r="DD30" s="29"/>
      <c r="DG30">
        <v>100</v>
      </c>
      <c r="DH30" s="29"/>
      <c r="DS30" s="29"/>
      <c r="EC30" t="s">
        <v>378</v>
      </c>
      <c r="EE30" s="29"/>
      <c r="EH30">
        <v>100</v>
      </c>
      <c r="EL30" s="99"/>
      <c r="EM30" s="112"/>
      <c r="EN30" s="112"/>
      <c r="EO30" s="112">
        <v>20.6</v>
      </c>
      <c r="EP30" s="112"/>
      <c r="EQ30" s="112"/>
      <c r="ES30" s="99">
        <v>66500</v>
      </c>
      <c r="ET30" s="111">
        <f>ES30/AI30</f>
        <v>554.16666666666663</v>
      </c>
      <c r="EV30" s="29">
        <v>10</v>
      </c>
      <c r="EW30">
        <v>10</v>
      </c>
      <c r="EX30" s="29"/>
      <c r="FI30" s="29"/>
      <c r="FJ30" t="s">
        <v>39</v>
      </c>
      <c r="FK30" t="s">
        <v>379</v>
      </c>
      <c r="FL30" s="29"/>
      <c r="FR30" s="29"/>
      <c r="FV30" t="s">
        <v>162</v>
      </c>
      <c r="FW30" s="40" t="s">
        <v>380</v>
      </c>
      <c r="FX30" s="29"/>
      <c r="FZ30" t="s">
        <v>160</v>
      </c>
      <c r="GC30" t="s">
        <v>381</v>
      </c>
      <c r="GD30" s="29"/>
      <c r="GE30" s="29"/>
      <c r="GI30" s="29"/>
    </row>
    <row r="31" spans="1:191" ht="15.75">
      <c r="A31" s="295" t="s">
        <v>1024</v>
      </c>
      <c r="B31" s="29"/>
      <c r="D31" s="14"/>
      <c r="E31" s="5"/>
      <c r="F31" s="5"/>
      <c r="G31" s="5"/>
      <c r="H31" s="5"/>
      <c r="I31" s="6"/>
      <c r="J31" s="5"/>
      <c r="K31" s="20"/>
      <c r="L31" s="50">
        <v>0.41</v>
      </c>
      <c r="M31" s="50"/>
      <c r="N31" s="61">
        <v>0.49</v>
      </c>
      <c r="O31" s="50"/>
      <c r="Q31" s="67"/>
      <c r="AC31" s="29"/>
      <c r="AI31" s="56">
        <v>35.591999999999999</v>
      </c>
      <c r="AJ31" s="119">
        <f t="shared" si="0"/>
        <v>86.809756097560978</v>
      </c>
      <c r="AK31" s="32">
        <f>AI31*0.907185</f>
        <v>32.28852852</v>
      </c>
      <c r="AQ31" s="148"/>
      <c r="AR31" s="73"/>
      <c r="AS31" s="70"/>
      <c r="AT31" s="29"/>
      <c r="AV31" s="34">
        <f>AI31</f>
        <v>35.591999999999999</v>
      </c>
      <c r="AZ31" s="34" t="s">
        <v>1109</v>
      </c>
      <c r="BA31" s="29"/>
      <c r="BD31" s="75"/>
      <c r="BE31" s="29"/>
      <c r="BH31" s="75"/>
      <c r="BI31" s="75"/>
      <c r="BJ31" s="75"/>
      <c r="BK31" s="75"/>
      <c r="BL31" s="75"/>
      <c r="BM31" s="75"/>
      <c r="BN31" s="75"/>
      <c r="BO31" s="75"/>
      <c r="BP31" s="75"/>
      <c r="BQ31" s="29"/>
      <c r="BR31" s="29"/>
      <c r="CC31" s="29"/>
      <c r="CX31" s="29"/>
      <c r="DA31" s="29"/>
      <c r="DD31" s="29"/>
      <c r="DH31" s="29"/>
      <c r="DS31" s="29"/>
      <c r="EE31" s="29"/>
      <c r="EL31" s="99"/>
      <c r="EM31" s="112"/>
      <c r="EN31" s="112"/>
      <c r="EO31" s="112"/>
      <c r="EP31" s="112"/>
      <c r="EQ31" s="112"/>
      <c r="ES31" s="99"/>
      <c r="ET31" s="111"/>
      <c r="EV31" s="29"/>
      <c r="EX31" s="29"/>
      <c r="FI31" s="29"/>
      <c r="FL31" s="29"/>
      <c r="FR31" s="29"/>
      <c r="FX31" s="29"/>
      <c r="GD31" s="29"/>
      <c r="GE31" s="29"/>
      <c r="GI31" s="29"/>
    </row>
    <row r="32" spans="1:191" ht="15.75">
      <c r="A32" s="228" t="s">
        <v>992</v>
      </c>
      <c r="B32" s="29" t="s">
        <v>544</v>
      </c>
      <c r="D32" s="38"/>
      <c r="E32" s="5" t="s">
        <v>744</v>
      </c>
      <c r="F32" s="5"/>
      <c r="G32" s="5" t="s">
        <v>745</v>
      </c>
      <c r="H32" s="5" t="s">
        <v>714</v>
      </c>
      <c r="I32" s="6" t="s">
        <v>746</v>
      </c>
      <c r="J32" s="5"/>
      <c r="K32" s="20"/>
      <c r="L32">
        <v>9.9</v>
      </c>
      <c r="M32">
        <v>9.9</v>
      </c>
      <c r="N32" s="4">
        <v>25</v>
      </c>
      <c r="O32">
        <v>25</v>
      </c>
      <c r="P32">
        <v>55000</v>
      </c>
      <c r="Q32" s="67">
        <f>L32*1000000/P32</f>
        <v>180</v>
      </c>
      <c r="S32" t="s">
        <v>39</v>
      </c>
      <c r="T32" t="s">
        <v>989</v>
      </c>
      <c r="V32" t="s">
        <v>39</v>
      </c>
      <c r="X32" t="s">
        <v>38</v>
      </c>
      <c r="AC32" s="29"/>
      <c r="AD32" t="s">
        <v>45</v>
      </c>
      <c r="AI32" s="33">
        <f>1.10231162684681*AK32</f>
        <v>1644.9906638597631</v>
      </c>
      <c r="AJ32" s="119">
        <f t="shared" si="0"/>
        <v>166.16067311714778</v>
      </c>
      <c r="AK32">
        <v>1492.31</v>
      </c>
      <c r="AP32">
        <v>30</v>
      </c>
      <c r="AQ32" s="148"/>
      <c r="AR32" s="73"/>
      <c r="AS32" s="70"/>
      <c r="AT32" s="29"/>
      <c r="AU32" s="32">
        <f>1.10231162684681*(609.6+587.5+197.6)</f>
        <v>1537.3940259632459</v>
      </c>
      <c r="AV32" s="32">
        <f>1.10231162684681*97.1</f>
        <v>107.03445896682526</v>
      </c>
      <c r="AZ32" t="s">
        <v>990</v>
      </c>
      <c r="BA32" s="29"/>
      <c r="BB32" t="s">
        <v>39</v>
      </c>
      <c r="BD32" s="75"/>
      <c r="BE32" s="29"/>
      <c r="BF32" t="s">
        <v>39</v>
      </c>
      <c r="BH32" s="75"/>
      <c r="BI32" s="75"/>
      <c r="BJ32" s="75"/>
      <c r="BK32" s="75"/>
      <c r="BL32" s="75"/>
      <c r="BM32" s="75"/>
      <c r="BN32" s="75"/>
      <c r="BO32" s="75"/>
      <c r="BP32" s="75"/>
      <c r="BQ32" s="29"/>
      <c r="BR32" s="29"/>
      <c r="BS32" t="s">
        <v>72</v>
      </c>
      <c r="CC32" s="29"/>
      <c r="CR32" t="s">
        <v>97</v>
      </c>
      <c r="CX32" s="29"/>
      <c r="CY32" t="s">
        <v>104</v>
      </c>
      <c r="DA32" s="29" t="s">
        <v>106</v>
      </c>
      <c r="DD32" s="29"/>
      <c r="DG32">
        <v>100</v>
      </c>
      <c r="DH32" s="29"/>
      <c r="DS32" s="29" t="s">
        <v>123</v>
      </c>
      <c r="DV32" s="39" t="s">
        <v>126</v>
      </c>
      <c r="ED32" t="s">
        <v>991</v>
      </c>
      <c r="EE32" s="29"/>
      <c r="EH32">
        <v>93</v>
      </c>
      <c r="EI32">
        <v>7</v>
      </c>
      <c r="EL32" s="99"/>
      <c r="EM32" s="112"/>
      <c r="EN32" s="112"/>
      <c r="EO32" s="112"/>
      <c r="EP32" s="112"/>
      <c r="EQ32" s="112"/>
      <c r="ES32" s="99">
        <v>536729.19999999995</v>
      </c>
      <c r="ET32" s="111">
        <f>ES32/AI32</f>
        <v>326.28100073263187</v>
      </c>
      <c r="EV32" s="29"/>
      <c r="EW32">
        <v>20</v>
      </c>
      <c r="EX32" s="29" t="s">
        <v>993</v>
      </c>
      <c r="FC32" t="s">
        <v>431</v>
      </c>
      <c r="FD32" t="s">
        <v>993</v>
      </c>
      <c r="FH32" t="s">
        <v>997</v>
      </c>
      <c r="FI32" s="29"/>
      <c r="FJ32" t="s">
        <v>39</v>
      </c>
      <c r="FK32" t="s">
        <v>995</v>
      </c>
      <c r="FL32" s="29"/>
      <c r="FR32" s="29"/>
      <c r="FV32" t="s">
        <v>162</v>
      </c>
      <c r="FW32" s="40" t="s">
        <v>994</v>
      </c>
      <c r="FX32" s="29"/>
      <c r="FZ32" t="s">
        <v>160</v>
      </c>
      <c r="GC32" t="s">
        <v>996</v>
      </c>
      <c r="GD32" s="29"/>
      <c r="GE32" s="29"/>
      <c r="GI32" s="29"/>
    </row>
    <row r="33" spans="1:191" ht="15.75">
      <c r="A33" s="228" t="s">
        <v>1025</v>
      </c>
      <c r="B33" s="29"/>
      <c r="D33" s="13"/>
      <c r="E33" s="8"/>
      <c r="F33" s="8"/>
      <c r="G33" s="8"/>
      <c r="H33" s="8"/>
      <c r="I33" s="9"/>
      <c r="J33" s="8"/>
      <c r="K33" s="18"/>
      <c r="L33" s="50">
        <v>0.26</v>
      </c>
      <c r="M33" s="50"/>
      <c r="N33" s="61">
        <v>0.45</v>
      </c>
      <c r="O33" s="50"/>
      <c r="Q33" s="67"/>
      <c r="AC33" s="29"/>
      <c r="AI33" s="33">
        <f>1.10231162684681*AK33</f>
        <v>74.717989002557331</v>
      </c>
      <c r="AJ33" s="119">
        <f t="shared" si="0"/>
        <v>287.37688077906665</v>
      </c>
      <c r="AK33" s="47">
        <v>67.783000000000001</v>
      </c>
      <c r="AQ33" s="148" t="s">
        <v>38</v>
      </c>
      <c r="AR33" s="73">
        <v>67.783000000000001</v>
      </c>
      <c r="AS33" s="70">
        <v>73.75</v>
      </c>
      <c r="AT33" s="29"/>
      <c r="AU33" s="34">
        <f>AI33</f>
        <v>74.717989002557331</v>
      </c>
      <c r="AZ33" s="34" t="s">
        <v>1110</v>
      </c>
      <c r="BA33" s="29"/>
      <c r="BD33" s="75"/>
      <c r="BE33" s="29"/>
      <c r="BH33" s="75"/>
      <c r="BI33" s="75"/>
      <c r="BJ33" s="75"/>
      <c r="BK33" s="75"/>
      <c r="BL33" s="75"/>
      <c r="BM33" s="75"/>
      <c r="BN33" s="75"/>
      <c r="BO33" s="75"/>
      <c r="BP33" s="75"/>
      <c r="BQ33" s="29"/>
      <c r="BR33" s="29"/>
      <c r="CC33" s="29"/>
      <c r="CX33" s="29"/>
      <c r="DA33" s="29"/>
      <c r="DD33" s="29"/>
      <c r="DH33" s="29"/>
      <c r="DS33" s="29"/>
      <c r="EE33" s="29"/>
      <c r="EL33" s="99"/>
      <c r="EM33" s="112"/>
      <c r="EN33" s="112"/>
      <c r="EO33" s="112"/>
      <c r="EP33" s="112"/>
      <c r="EQ33" s="112"/>
      <c r="ES33" s="99"/>
      <c r="ET33" s="111"/>
      <c r="EV33" s="29"/>
      <c r="EX33" s="29"/>
      <c r="FI33" s="29"/>
      <c r="FL33" s="29"/>
      <c r="FR33" s="29"/>
      <c r="FX33" s="29"/>
      <c r="GD33" s="29"/>
      <c r="GE33" s="29"/>
      <c r="GI33" s="29"/>
    </row>
    <row r="34" spans="1:191" ht="15.75">
      <c r="A34" s="228" t="s">
        <v>645</v>
      </c>
      <c r="B34" s="29" t="s">
        <v>479</v>
      </c>
      <c r="D34" s="5"/>
      <c r="E34" s="5" t="s">
        <v>750</v>
      </c>
      <c r="F34" s="5"/>
      <c r="G34" s="5" t="s">
        <v>751</v>
      </c>
      <c r="H34" s="5" t="s">
        <v>714</v>
      </c>
      <c r="I34" s="6" t="s">
        <v>752</v>
      </c>
      <c r="J34" s="5"/>
      <c r="K34" s="20"/>
      <c r="L34">
        <v>1.1000000000000001</v>
      </c>
      <c r="M34">
        <v>1.1000000000000001</v>
      </c>
      <c r="N34" s="4">
        <v>1.2</v>
      </c>
      <c r="O34">
        <v>1.2</v>
      </c>
      <c r="P34">
        <v>6000</v>
      </c>
      <c r="Q34" s="67">
        <f>L34*1000000/P34</f>
        <v>183.33333333333334</v>
      </c>
      <c r="R34" t="s">
        <v>38</v>
      </c>
      <c r="T34" t="s">
        <v>480</v>
      </c>
      <c r="U34" t="s">
        <v>38</v>
      </c>
      <c r="W34" t="s">
        <v>481</v>
      </c>
      <c r="Y34" t="s">
        <v>39</v>
      </c>
      <c r="AC34" s="29"/>
      <c r="AD34" t="s">
        <v>45</v>
      </c>
      <c r="AI34" s="33">
        <f>1.10231162684681*AK34</f>
        <v>228.17850675728968</v>
      </c>
      <c r="AJ34" s="119">
        <f t="shared" si="0"/>
        <v>207.4350061429906</v>
      </c>
      <c r="AK34">
        <v>207</v>
      </c>
      <c r="AP34">
        <v>5</v>
      </c>
      <c r="AQ34" s="148" t="s">
        <v>38</v>
      </c>
      <c r="AR34" s="73">
        <v>211</v>
      </c>
      <c r="AS34" s="70">
        <v>211.5</v>
      </c>
      <c r="AT34" s="33">
        <f>1.10231162684681*89</f>
        <v>98.105734789366096</v>
      </c>
      <c r="AU34" s="32">
        <f>1.10231162684681*95</f>
        <v>104.71960455044696</v>
      </c>
      <c r="AV34" s="32">
        <f>1.10231162684681*23</f>
        <v>25.35316741747663</v>
      </c>
      <c r="BA34" s="29" t="s">
        <v>38</v>
      </c>
      <c r="BD34" s="75">
        <v>1650650</v>
      </c>
      <c r="BE34" s="29"/>
      <c r="BF34" t="s">
        <v>39</v>
      </c>
      <c r="BH34" s="75"/>
      <c r="BI34" s="75"/>
      <c r="BJ34" s="75"/>
      <c r="BK34" s="75"/>
      <c r="BL34" s="75"/>
      <c r="BM34" s="75"/>
      <c r="BN34" s="75"/>
      <c r="BO34" s="75"/>
      <c r="BP34" s="75"/>
      <c r="BQ34" s="29">
        <v>50</v>
      </c>
      <c r="BR34" s="29" t="s">
        <v>71</v>
      </c>
      <c r="CB34" t="s">
        <v>482</v>
      </c>
      <c r="CC34" s="29"/>
      <c r="CI34" t="s">
        <v>203</v>
      </c>
      <c r="CP34" t="s">
        <v>203</v>
      </c>
      <c r="CW34" t="s">
        <v>203</v>
      </c>
      <c r="CX34" s="29"/>
      <c r="CY34" t="s">
        <v>104</v>
      </c>
      <c r="DA34" s="29" t="s">
        <v>106</v>
      </c>
      <c r="DD34" s="29"/>
      <c r="DG34">
        <v>100</v>
      </c>
      <c r="DH34" s="29"/>
      <c r="DN34" t="s">
        <v>118</v>
      </c>
      <c r="DS34" s="29"/>
      <c r="EC34" t="s">
        <v>482</v>
      </c>
      <c r="EE34" s="29"/>
      <c r="EH34">
        <v>46</v>
      </c>
      <c r="EI34">
        <v>11</v>
      </c>
      <c r="EJ34">
        <v>43</v>
      </c>
      <c r="EL34" s="99"/>
      <c r="EM34" s="112"/>
      <c r="EN34" s="112"/>
      <c r="EO34" s="113">
        <v>145.37</v>
      </c>
      <c r="EP34" s="113">
        <v>607.99</v>
      </c>
      <c r="EQ34" s="113">
        <v>568.55999999999995</v>
      </c>
      <c r="ER34" s="68" t="s">
        <v>1195</v>
      </c>
      <c r="ES34" s="99">
        <v>132157</v>
      </c>
      <c r="ET34" s="111">
        <f>ES34/AI34</f>
        <v>579.18250880909466</v>
      </c>
      <c r="EV34" s="29">
        <v>10</v>
      </c>
      <c r="EW34">
        <v>20</v>
      </c>
      <c r="EX34" s="29" t="s">
        <v>483</v>
      </c>
      <c r="FE34" t="s">
        <v>307</v>
      </c>
      <c r="FF34" t="s">
        <v>307</v>
      </c>
      <c r="FI34" s="29" t="s">
        <v>38</v>
      </c>
      <c r="FL34" s="29"/>
      <c r="FM34" t="s">
        <v>153</v>
      </c>
      <c r="FR34" s="29"/>
      <c r="FV34" t="s">
        <v>162</v>
      </c>
      <c r="FX34" s="29"/>
      <c r="FY34" t="s">
        <v>159</v>
      </c>
      <c r="GD34" s="29"/>
      <c r="GE34" s="29"/>
      <c r="GI34" s="29"/>
    </row>
    <row r="35" spans="1:191" ht="15.75">
      <c r="A35" s="228" t="s">
        <v>1015</v>
      </c>
      <c r="B35" s="29"/>
      <c r="D35" s="14"/>
      <c r="E35" s="5" t="s">
        <v>947</v>
      </c>
      <c r="F35" s="5"/>
      <c r="G35" s="5" t="s">
        <v>945</v>
      </c>
      <c r="H35" s="5" t="s">
        <v>714</v>
      </c>
      <c r="I35" s="6" t="s">
        <v>948</v>
      </c>
      <c r="J35" s="14"/>
      <c r="K35" s="20"/>
      <c r="L35" s="50">
        <v>0.4</v>
      </c>
      <c r="M35" s="50"/>
      <c r="N35" s="61">
        <v>3.08</v>
      </c>
      <c r="O35" s="50"/>
      <c r="P35" s="2"/>
      <c r="Q35" s="67"/>
      <c r="AC35" s="29"/>
      <c r="AI35" s="85">
        <f>1.10231162684681*AK35</f>
        <v>588.63440873619652</v>
      </c>
      <c r="AJ35" s="120"/>
      <c r="AK35" s="90">
        <f>AR35/2</f>
        <v>534</v>
      </c>
      <c r="AQ35" s="148" t="s">
        <v>38</v>
      </c>
      <c r="AR35" s="73">
        <v>1068</v>
      </c>
      <c r="AS35" s="70">
        <v>873</v>
      </c>
      <c r="AT35" s="91">
        <f>AI35</f>
        <v>588.63440873619652</v>
      </c>
      <c r="AU35" s="40"/>
      <c r="AV35" s="40"/>
      <c r="AW35" s="40"/>
      <c r="AX35" s="40"/>
      <c r="AY35" s="40"/>
      <c r="BA35" s="29"/>
      <c r="BD35" s="75"/>
      <c r="BE35" s="29"/>
      <c r="BH35" s="75"/>
      <c r="BI35" s="75"/>
      <c r="BJ35" s="75"/>
      <c r="BK35" s="75"/>
      <c r="BL35" s="75"/>
      <c r="BM35" s="75"/>
      <c r="BN35" s="75"/>
      <c r="BO35" s="75"/>
      <c r="BP35" s="75"/>
      <c r="BQ35" s="29"/>
      <c r="BR35" s="29"/>
      <c r="BX35" t="s">
        <v>1236</v>
      </c>
      <c r="CC35" s="29"/>
      <c r="CX35" s="29"/>
      <c r="DA35" s="29"/>
      <c r="DD35" s="29"/>
      <c r="DH35" s="29"/>
      <c r="DS35" s="29"/>
      <c r="EE35" s="29"/>
      <c r="EL35" s="99"/>
      <c r="EM35" s="112"/>
      <c r="EN35" s="112"/>
      <c r="EO35" s="112"/>
      <c r="EP35" s="112"/>
      <c r="EQ35" s="112"/>
      <c r="ES35" s="99"/>
      <c r="ET35" s="111"/>
      <c r="EV35" s="29"/>
      <c r="EX35" s="29"/>
      <c r="FI35" s="29"/>
      <c r="FL35" s="29"/>
      <c r="FR35" s="29"/>
      <c r="FX35" s="29"/>
      <c r="GD35" s="29"/>
      <c r="GE35" s="29"/>
      <c r="GI35" s="29"/>
    </row>
    <row r="36" spans="1:191" ht="15.75">
      <c r="A36" s="296" t="s">
        <v>1051</v>
      </c>
      <c r="B36" s="29" t="s">
        <v>578</v>
      </c>
      <c r="D36" s="25"/>
      <c r="E36" s="25" t="s">
        <v>753</v>
      </c>
      <c r="F36" s="25"/>
      <c r="G36" s="25" t="s">
        <v>754</v>
      </c>
      <c r="H36" s="25" t="s">
        <v>724</v>
      </c>
      <c r="I36" s="126"/>
      <c r="J36" s="25"/>
      <c r="K36" s="129"/>
      <c r="L36">
        <v>1.373</v>
      </c>
      <c r="M36">
        <v>1.373</v>
      </c>
      <c r="N36" s="44">
        <v>2</v>
      </c>
      <c r="O36" s="54">
        <v>2</v>
      </c>
      <c r="P36">
        <v>6500</v>
      </c>
      <c r="Q36" s="67">
        <f>L36*1000000/P36</f>
        <v>211.23076923076923</v>
      </c>
      <c r="R36" t="s">
        <v>38</v>
      </c>
      <c r="T36" t="s">
        <v>579</v>
      </c>
      <c r="U36" t="s">
        <v>38</v>
      </c>
      <c r="W36" t="s">
        <v>580</v>
      </c>
      <c r="X36" t="s">
        <v>38</v>
      </c>
      <c r="AC36" s="29" t="s">
        <v>44</v>
      </c>
      <c r="AI36" s="29">
        <v>524</v>
      </c>
      <c r="AJ36" s="119">
        <f>AI36/L36</f>
        <v>381.64603058994902</v>
      </c>
      <c r="AK36" s="32">
        <f>AI36*0.907185</f>
        <v>475.36493999999999</v>
      </c>
      <c r="AP36">
        <v>17</v>
      </c>
      <c r="AQ36" s="148" t="s">
        <v>38</v>
      </c>
      <c r="AR36" s="73">
        <v>499.9</v>
      </c>
      <c r="AS36" s="70">
        <v>499.45</v>
      </c>
      <c r="AT36" s="29"/>
      <c r="AU36">
        <v>479</v>
      </c>
      <c r="AV36">
        <v>44</v>
      </c>
      <c r="BA36" s="29" t="s">
        <v>38</v>
      </c>
      <c r="BD36" s="75">
        <v>5589425</v>
      </c>
      <c r="BE36" s="29" t="s">
        <v>38</v>
      </c>
      <c r="BH36" s="75"/>
      <c r="BI36" s="75"/>
      <c r="BJ36" s="75"/>
      <c r="BK36" s="75"/>
      <c r="BL36" s="75"/>
      <c r="BM36" s="75"/>
      <c r="BN36" s="75"/>
      <c r="BO36" s="75"/>
      <c r="BP36" s="75"/>
      <c r="BQ36" s="29">
        <v>0</v>
      </c>
      <c r="BR36" s="29"/>
      <c r="BS36" t="s">
        <v>72</v>
      </c>
      <c r="BT36" t="s">
        <v>73</v>
      </c>
      <c r="CC36" s="29"/>
      <c r="CG36" t="s">
        <v>187</v>
      </c>
      <c r="CN36" t="s">
        <v>187</v>
      </c>
      <c r="CU36" t="s">
        <v>187</v>
      </c>
      <c r="CX36" s="29"/>
      <c r="CY36" t="s">
        <v>104</v>
      </c>
      <c r="DA36" s="29" t="s">
        <v>106</v>
      </c>
      <c r="DD36" s="29"/>
      <c r="DF36">
        <v>100</v>
      </c>
      <c r="DH36" s="29"/>
      <c r="DR36" t="s">
        <v>122</v>
      </c>
      <c r="DS36" s="29" t="s">
        <v>123</v>
      </c>
      <c r="EE36" s="29"/>
      <c r="EH36">
        <v>92</v>
      </c>
      <c r="EI36">
        <v>8</v>
      </c>
      <c r="EL36" s="99"/>
      <c r="EM36" s="112"/>
      <c r="EN36" s="112"/>
      <c r="EO36" s="112">
        <v>84</v>
      </c>
      <c r="EP36" s="112">
        <v>84</v>
      </c>
      <c r="EQ36" s="112"/>
      <c r="ES36" s="99">
        <v>270000</v>
      </c>
      <c r="ET36" s="111">
        <f>ES36/AI36</f>
        <v>515.26717557251914</v>
      </c>
      <c r="EV36" s="29">
        <v>30</v>
      </c>
      <c r="EW36">
        <v>100</v>
      </c>
      <c r="EX36" s="29"/>
      <c r="FE36" t="s">
        <v>307</v>
      </c>
      <c r="FF36" t="s">
        <v>307</v>
      </c>
      <c r="FI36" s="29"/>
      <c r="FJ36" t="s">
        <v>39</v>
      </c>
      <c r="FK36" t="s">
        <v>581</v>
      </c>
      <c r="FL36" s="29"/>
      <c r="FR36" s="29"/>
      <c r="FV36" t="s">
        <v>162</v>
      </c>
      <c r="FX36" s="29"/>
      <c r="GA36" t="s">
        <v>161</v>
      </c>
      <c r="GD36" s="29"/>
      <c r="GE36" s="29"/>
      <c r="GI36" s="29"/>
    </row>
    <row r="37" spans="1:191" ht="15.95" customHeight="1">
      <c r="A37" s="228" t="s">
        <v>1026</v>
      </c>
      <c r="B37" s="29"/>
      <c r="D37" s="5"/>
      <c r="E37" s="5"/>
      <c r="F37" s="5"/>
      <c r="G37" s="5"/>
      <c r="H37" s="5"/>
      <c r="I37" s="6"/>
      <c r="J37" s="14"/>
      <c r="K37" s="20"/>
      <c r="L37" s="50">
        <v>0.06</v>
      </c>
      <c r="M37" s="50"/>
      <c r="N37" s="61">
        <v>0.12</v>
      </c>
      <c r="O37" s="50"/>
      <c r="Q37" s="67"/>
      <c r="AC37" s="29"/>
      <c r="AI37" s="56">
        <v>67.599999999999994</v>
      </c>
      <c r="AJ37" s="120"/>
      <c r="AK37" s="32">
        <f>AI37*0.907185</f>
        <v>61.325705999999997</v>
      </c>
      <c r="AQ37" s="148"/>
      <c r="AR37" s="73"/>
      <c r="AS37" s="70"/>
      <c r="AT37" s="29"/>
      <c r="AU37" s="34">
        <f>AI37</f>
        <v>67.599999999999994</v>
      </c>
      <c r="AZ37" s="34" t="s">
        <v>1112</v>
      </c>
      <c r="BA37" s="29"/>
      <c r="BD37" s="75"/>
      <c r="BE37" s="29"/>
      <c r="BH37" s="75"/>
      <c r="BI37" s="75"/>
      <c r="BJ37" s="75"/>
      <c r="BK37" s="75"/>
      <c r="BL37" s="75"/>
      <c r="BM37" s="75"/>
      <c r="BN37" s="75"/>
      <c r="BO37" s="75"/>
      <c r="BP37" s="75"/>
      <c r="BQ37" s="29"/>
      <c r="BR37" s="29"/>
      <c r="CC37" s="29"/>
      <c r="CX37" s="29"/>
      <c r="DA37" s="29"/>
      <c r="DD37" s="29"/>
      <c r="DH37" s="29"/>
      <c r="DS37" s="29"/>
      <c r="EE37" s="29"/>
      <c r="EL37" s="99"/>
      <c r="EM37" s="112"/>
      <c r="EN37" s="112"/>
      <c r="EO37" s="112"/>
      <c r="EP37" s="112"/>
      <c r="EQ37" s="112"/>
      <c r="ES37" s="99"/>
      <c r="ET37" s="111"/>
      <c r="EV37" s="29"/>
      <c r="EX37" s="29"/>
      <c r="FI37" s="29"/>
      <c r="FL37" s="29"/>
      <c r="FR37" s="29"/>
      <c r="FX37" s="29"/>
      <c r="GD37" s="29"/>
      <c r="GE37" s="29"/>
      <c r="GI37" s="29"/>
    </row>
    <row r="38" spans="1:191" ht="15.75">
      <c r="A38" s="228" t="s">
        <v>646</v>
      </c>
      <c r="B38" s="29" t="s">
        <v>546</v>
      </c>
      <c r="D38" s="5"/>
      <c r="E38" s="125" t="s">
        <v>758</v>
      </c>
      <c r="F38" s="125"/>
      <c r="G38" s="125" t="s">
        <v>759</v>
      </c>
      <c r="H38" s="125" t="s">
        <v>714</v>
      </c>
      <c r="I38" s="127" t="s">
        <v>760</v>
      </c>
      <c r="J38" s="125"/>
      <c r="K38" s="130"/>
      <c r="L38">
        <v>1.35</v>
      </c>
      <c r="M38">
        <v>1.35</v>
      </c>
      <c r="N38" s="4">
        <v>3.8</v>
      </c>
      <c r="O38">
        <v>3.8</v>
      </c>
      <c r="P38">
        <v>12000</v>
      </c>
      <c r="Q38" s="67">
        <f>L38*1000000/P38</f>
        <v>112.5</v>
      </c>
      <c r="R38" t="s">
        <v>38</v>
      </c>
      <c r="T38" t="s">
        <v>547</v>
      </c>
      <c r="V38" t="s">
        <v>39</v>
      </c>
      <c r="X38" t="s">
        <v>38</v>
      </c>
      <c r="AB38" t="s">
        <v>548</v>
      </c>
      <c r="AC38" s="29"/>
      <c r="AD38" t="s">
        <v>45</v>
      </c>
      <c r="AI38" s="33">
        <f>1.10231162684681*AK38</f>
        <v>90.38955340143842</v>
      </c>
      <c r="AJ38" s="119">
        <f>AI38/L38</f>
        <v>66.955224741806234</v>
      </c>
      <c r="AK38">
        <v>82</v>
      </c>
      <c r="AP38">
        <v>21</v>
      </c>
      <c r="AQ38" s="148"/>
      <c r="AR38" s="73"/>
      <c r="AS38" s="70"/>
      <c r="AT38" s="29"/>
      <c r="AU38" s="32">
        <f>1.10231162684681*82</f>
        <v>90.38955340143842</v>
      </c>
      <c r="BA38" s="29" t="s">
        <v>38</v>
      </c>
      <c r="BD38" s="75">
        <v>65500</v>
      </c>
      <c r="BE38" s="29"/>
      <c r="BF38" t="s">
        <v>39</v>
      </c>
      <c r="BH38" s="75"/>
      <c r="BI38" s="75"/>
      <c r="BJ38" s="75"/>
      <c r="BK38" s="75"/>
      <c r="BL38" s="75"/>
      <c r="BM38" s="75"/>
      <c r="BN38" s="75"/>
      <c r="BO38" s="75"/>
      <c r="BP38" s="75"/>
      <c r="BQ38" s="29">
        <v>60</v>
      </c>
      <c r="BR38" s="29" t="s">
        <v>71</v>
      </c>
      <c r="BS38" t="s">
        <v>72</v>
      </c>
      <c r="CC38" s="29"/>
      <c r="CD38" t="s">
        <v>170</v>
      </c>
      <c r="CK38" t="s">
        <v>170</v>
      </c>
      <c r="CU38" t="s">
        <v>187</v>
      </c>
      <c r="CX38" s="29"/>
      <c r="CY38" t="s">
        <v>104</v>
      </c>
      <c r="DA38" s="29" t="s">
        <v>106</v>
      </c>
      <c r="DD38" s="29"/>
      <c r="DG38">
        <v>100</v>
      </c>
      <c r="DH38" s="29"/>
      <c r="DP38" t="s">
        <v>120</v>
      </c>
      <c r="DS38" s="29" t="s">
        <v>123</v>
      </c>
      <c r="DZ38" t="s">
        <v>130</v>
      </c>
      <c r="ED38" t="s">
        <v>549</v>
      </c>
      <c r="EE38" s="29"/>
      <c r="EH38">
        <v>100</v>
      </c>
      <c r="EL38" s="99"/>
      <c r="EM38" s="112"/>
      <c r="EN38" s="112"/>
      <c r="EO38" s="112">
        <v>102.84</v>
      </c>
      <c r="EP38" s="112"/>
      <c r="EQ38" s="112"/>
      <c r="ER38" s="68" t="s">
        <v>1196</v>
      </c>
      <c r="ES38" s="99">
        <v>234484</v>
      </c>
      <c r="ET38" s="111">
        <f>ES38/AI38</f>
        <v>2594.149336689482</v>
      </c>
      <c r="EU38" t="s">
        <v>550</v>
      </c>
      <c r="EV38" s="29">
        <v>10</v>
      </c>
      <c r="EW38">
        <v>10</v>
      </c>
      <c r="EX38" s="29"/>
      <c r="FE38" t="s">
        <v>303</v>
      </c>
      <c r="FI38" s="29" t="s">
        <v>38</v>
      </c>
      <c r="FL38" s="29"/>
      <c r="FN38" t="s">
        <v>154</v>
      </c>
      <c r="FR38" s="29"/>
      <c r="FV38" t="s">
        <v>162</v>
      </c>
      <c r="FX38" s="29"/>
      <c r="FZ38" t="s">
        <v>160</v>
      </c>
      <c r="GC38" t="s">
        <v>551</v>
      </c>
      <c r="GD38" s="29"/>
      <c r="GE38" s="29"/>
      <c r="GI38" s="29"/>
    </row>
    <row r="39" spans="1:191" ht="29.1" customHeight="1">
      <c r="A39" s="228" t="s">
        <v>647</v>
      </c>
      <c r="B39" s="29" t="s">
        <v>362</v>
      </c>
      <c r="D39" s="14"/>
      <c r="E39" s="5" t="s">
        <v>761</v>
      </c>
      <c r="F39" s="5"/>
      <c r="G39" s="5" t="s">
        <v>762</v>
      </c>
      <c r="H39" s="5" t="s">
        <v>714</v>
      </c>
      <c r="I39" s="6" t="s">
        <v>763</v>
      </c>
      <c r="J39" s="14"/>
      <c r="K39" s="21"/>
      <c r="L39">
        <v>0.35</v>
      </c>
      <c r="M39">
        <v>0.35</v>
      </c>
      <c r="N39" s="4">
        <v>0.75</v>
      </c>
      <c r="O39">
        <v>0.75</v>
      </c>
      <c r="P39">
        <v>3000</v>
      </c>
      <c r="Q39" s="67">
        <f>L39*1000000/P39</f>
        <v>116.66666666666667</v>
      </c>
      <c r="R39" t="s">
        <v>38</v>
      </c>
      <c r="T39" t="s">
        <v>363</v>
      </c>
      <c r="V39" t="s">
        <v>39</v>
      </c>
      <c r="AA39" t="s">
        <v>43</v>
      </c>
      <c r="AC39" s="29"/>
      <c r="AE39" t="s">
        <v>46</v>
      </c>
      <c r="AI39" s="33">
        <f>AL39*AP39/100</f>
        <v>176</v>
      </c>
      <c r="AJ39" s="119">
        <f>AI39/L39</f>
        <v>502.85714285714289</v>
      </c>
      <c r="AK39" s="32">
        <f>AI39*0.907185</f>
        <v>159.66455999999999</v>
      </c>
      <c r="AL39">
        <v>880</v>
      </c>
      <c r="AP39">
        <v>20</v>
      </c>
      <c r="AQ39" s="148"/>
      <c r="AR39" s="73"/>
      <c r="AS39" s="70"/>
      <c r="AT39" s="29"/>
      <c r="AU39" s="79">
        <f>AI39</f>
        <v>176</v>
      </c>
      <c r="AY39" s="68"/>
      <c r="AZ39" t="s">
        <v>364</v>
      </c>
      <c r="BA39" s="29" t="s">
        <v>38</v>
      </c>
      <c r="BD39" s="75">
        <v>1800000</v>
      </c>
      <c r="BE39" s="29" t="s">
        <v>38</v>
      </c>
      <c r="BH39" s="75"/>
      <c r="BI39" s="75"/>
      <c r="BJ39" s="75"/>
      <c r="BK39" s="75"/>
      <c r="BL39" s="75"/>
      <c r="BM39" s="75"/>
      <c r="BN39" s="75"/>
      <c r="BO39" s="75"/>
      <c r="BP39" s="75"/>
      <c r="BQ39" s="29">
        <v>25</v>
      </c>
      <c r="BR39" s="29"/>
      <c r="BS39" t="s">
        <v>72</v>
      </c>
      <c r="CC39" s="29" t="s">
        <v>180</v>
      </c>
      <c r="CL39" t="s">
        <v>171</v>
      </c>
      <c r="CS39" t="s">
        <v>171</v>
      </c>
      <c r="CX39" s="29"/>
      <c r="CY39" t="s">
        <v>104</v>
      </c>
      <c r="DA39" s="29"/>
      <c r="DB39" s="68"/>
      <c r="DD39" s="29"/>
      <c r="DG39">
        <v>100</v>
      </c>
      <c r="DH39" s="29"/>
      <c r="DS39" s="29" t="s">
        <v>123</v>
      </c>
      <c r="EE39" s="29"/>
      <c r="EH39">
        <v>100</v>
      </c>
      <c r="EL39" s="99"/>
      <c r="EM39" s="112"/>
      <c r="EN39" s="112"/>
      <c r="EO39" s="112">
        <v>165</v>
      </c>
      <c r="EP39" s="112"/>
      <c r="EQ39" s="112"/>
      <c r="ES39" s="99">
        <v>142500</v>
      </c>
      <c r="ET39" s="111">
        <f>ES39/AI39</f>
        <v>809.65909090909088</v>
      </c>
      <c r="EV39" s="29">
        <v>25</v>
      </c>
      <c r="EW39">
        <v>50</v>
      </c>
      <c r="EX39" s="29"/>
      <c r="FB39" t="s">
        <v>365</v>
      </c>
      <c r="FC39" t="s">
        <v>365</v>
      </c>
      <c r="FE39" t="s">
        <v>307</v>
      </c>
      <c r="FI39" s="29" t="s">
        <v>38</v>
      </c>
      <c r="FL39" s="29"/>
      <c r="FN39" t="s">
        <v>154</v>
      </c>
      <c r="FR39" s="29"/>
      <c r="FV39" t="s">
        <v>162</v>
      </c>
      <c r="FX39" s="29" t="s">
        <v>158</v>
      </c>
      <c r="GD39" s="29"/>
      <c r="GE39" s="29"/>
      <c r="GI39" s="29"/>
    </row>
    <row r="40" spans="1:191" ht="15.75">
      <c r="A40" s="228" t="s">
        <v>648</v>
      </c>
      <c r="B40" s="29" t="s">
        <v>394</v>
      </c>
      <c r="D40" s="5"/>
      <c r="E40" s="5" t="s">
        <v>764</v>
      </c>
      <c r="F40" s="5"/>
      <c r="G40" s="5" t="s">
        <v>765</v>
      </c>
      <c r="H40" s="5" t="s">
        <v>714</v>
      </c>
      <c r="I40" s="6" t="s">
        <v>766</v>
      </c>
      <c r="J40" s="5"/>
      <c r="K40" s="20"/>
      <c r="L40">
        <v>1.78</v>
      </c>
      <c r="M40">
        <v>1.78</v>
      </c>
      <c r="N40" s="4">
        <v>2.5</v>
      </c>
      <c r="O40">
        <v>2.5</v>
      </c>
      <c r="P40">
        <v>800</v>
      </c>
      <c r="Q40" s="67" t="s">
        <v>1070</v>
      </c>
      <c r="S40" t="s">
        <v>39</v>
      </c>
      <c r="V40" t="s">
        <v>39</v>
      </c>
      <c r="X40" t="s">
        <v>38</v>
      </c>
      <c r="AC40" s="29"/>
      <c r="AD40" t="s">
        <v>45</v>
      </c>
      <c r="AI40" s="33">
        <f>1.10231162684681*AK40</f>
        <v>19644.295502037003</v>
      </c>
      <c r="AJ40" s="120"/>
      <c r="AK40">
        <v>17821</v>
      </c>
      <c r="AP40">
        <v>36</v>
      </c>
      <c r="AQ40" s="148" t="s">
        <v>38</v>
      </c>
      <c r="AR40" s="73">
        <v>17758</v>
      </c>
      <c r="AS40" s="70">
        <v>17185</v>
      </c>
      <c r="AT40" s="33">
        <f>1.10231162684681*17405</f>
        <v>19185.733865268729</v>
      </c>
      <c r="AU40" s="32"/>
      <c r="AV40" s="32">
        <f>1.10231162684681*416</f>
        <v>458.56163676827299</v>
      </c>
      <c r="BA40" s="29" t="s">
        <v>38</v>
      </c>
      <c r="BD40" s="75">
        <v>3044400</v>
      </c>
      <c r="BE40" s="29" t="s">
        <v>38</v>
      </c>
      <c r="BG40" t="s">
        <v>395</v>
      </c>
      <c r="BH40" s="75"/>
      <c r="BI40" s="75"/>
      <c r="BJ40" s="75"/>
      <c r="BK40" s="75">
        <v>3722700</v>
      </c>
      <c r="BL40" s="75"/>
      <c r="BM40" s="75"/>
      <c r="BN40" s="75"/>
      <c r="BO40" s="75"/>
      <c r="BP40" s="75"/>
      <c r="BQ40" s="29">
        <v>89</v>
      </c>
      <c r="BR40" s="29" t="s">
        <v>71</v>
      </c>
      <c r="BS40" t="s">
        <v>72</v>
      </c>
      <c r="CC40" s="29" t="s">
        <v>180</v>
      </c>
      <c r="CJ40" t="s">
        <v>196</v>
      </c>
      <c r="CU40" t="s">
        <v>187</v>
      </c>
      <c r="CX40" s="29"/>
      <c r="CY40" t="s">
        <v>104</v>
      </c>
      <c r="DA40" s="29" t="s">
        <v>106</v>
      </c>
      <c r="DD40" s="29"/>
      <c r="DF40">
        <v>100</v>
      </c>
      <c r="DH40" s="29"/>
      <c r="DQ40" t="s">
        <v>121</v>
      </c>
      <c r="DS40" s="29" t="s">
        <v>123</v>
      </c>
      <c r="EE40" s="29"/>
      <c r="EL40" s="99"/>
      <c r="EM40" s="112"/>
      <c r="EN40" s="112"/>
      <c r="EO40" s="112"/>
      <c r="EP40" s="112"/>
      <c r="EQ40" s="112"/>
      <c r="ES40" s="99"/>
      <c r="ET40" s="111"/>
      <c r="EV40" s="29"/>
      <c r="EX40" s="29"/>
      <c r="FI40" s="29"/>
      <c r="FL40" s="29"/>
      <c r="FR40" s="29"/>
      <c r="FX40" s="29"/>
      <c r="GD40" s="29"/>
      <c r="GE40" s="29"/>
      <c r="GI40" s="29"/>
    </row>
    <row r="41" spans="1:191" ht="15.75">
      <c r="A41" s="228" t="s">
        <v>1027</v>
      </c>
      <c r="B41" s="29"/>
      <c r="D41" s="5"/>
      <c r="E41" s="5"/>
      <c r="F41" s="5"/>
      <c r="G41" s="5"/>
      <c r="H41" s="5"/>
      <c r="I41" s="6"/>
      <c r="J41" s="5"/>
      <c r="K41" s="20"/>
      <c r="L41" s="50">
        <v>0.01</v>
      </c>
      <c r="M41" s="50"/>
      <c r="N41" s="61">
        <v>0.04</v>
      </c>
      <c r="O41" s="50"/>
      <c r="Q41" s="67"/>
      <c r="AC41" s="29"/>
      <c r="AI41" s="56">
        <v>27.5</v>
      </c>
      <c r="AJ41" s="120"/>
      <c r="AK41" s="32">
        <f>AI41*0.907185</f>
        <v>24.947587500000001</v>
      </c>
      <c r="AQ41" s="148"/>
      <c r="AR41" s="73"/>
      <c r="AS41" s="70"/>
      <c r="AT41" s="29"/>
      <c r="AU41" s="34">
        <f>AI41</f>
        <v>27.5</v>
      </c>
      <c r="AZ41" s="34" t="s">
        <v>1112</v>
      </c>
      <c r="BA41" s="29"/>
      <c r="BD41" s="75"/>
      <c r="BE41" s="29"/>
      <c r="BH41" s="75"/>
      <c r="BI41" s="75"/>
      <c r="BJ41" s="75"/>
      <c r="BK41" s="75"/>
      <c r="BL41" s="75"/>
      <c r="BM41" s="75"/>
      <c r="BN41" s="75"/>
      <c r="BO41" s="75"/>
      <c r="BP41" s="75"/>
      <c r="BQ41" s="29"/>
      <c r="BR41" s="29"/>
      <c r="CC41" s="29"/>
      <c r="CX41" s="29"/>
      <c r="DA41" s="29"/>
      <c r="DD41" s="29"/>
      <c r="DH41" s="29"/>
      <c r="DS41" s="29"/>
      <c r="EE41" s="29"/>
      <c r="EL41" s="99"/>
      <c r="EM41" s="112"/>
      <c r="EN41" s="112"/>
      <c r="EO41" s="112"/>
      <c r="EP41" s="112"/>
      <c r="EQ41" s="112"/>
      <c r="ES41" s="99"/>
      <c r="ET41" s="111"/>
      <c r="EV41" s="29"/>
      <c r="EX41" s="29"/>
      <c r="FI41" s="29"/>
      <c r="FL41" s="29"/>
      <c r="FR41" s="29"/>
      <c r="FX41" s="29"/>
      <c r="GD41" s="29"/>
      <c r="GE41" s="29"/>
      <c r="GI41" s="29"/>
    </row>
    <row r="42" spans="1:191" ht="15.75">
      <c r="A42" s="228" t="s">
        <v>1000</v>
      </c>
      <c r="B42" s="29" t="s">
        <v>1000</v>
      </c>
      <c r="C42" s="103"/>
      <c r="D42" s="14"/>
      <c r="E42" s="5" t="s">
        <v>949</v>
      </c>
      <c r="F42" s="5"/>
      <c r="G42" s="5" t="s">
        <v>946</v>
      </c>
      <c r="H42" s="5" t="s">
        <v>714</v>
      </c>
      <c r="I42" s="6" t="s">
        <v>950</v>
      </c>
      <c r="J42" s="14"/>
      <c r="K42" s="18"/>
      <c r="L42" s="131">
        <v>3</v>
      </c>
      <c r="M42" s="131">
        <v>3</v>
      </c>
      <c r="N42" s="105">
        <v>5</v>
      </c>
      <c r="O42" s="103">
        <v>5</v>
      </c>
      <c r="P42" s="103">
        <v>11500</v>
      </c>
      <c r="Q42" s="67">
        <f>L42*1000000/P42</f>
        <v>260.86956521739131</v>
      </c>
      <c r="R42" s="103"/>
      <c r="S42" s="103" t="s">
        <v>39</v>
      </c>
      <c r="T42" s="103"/>
      <c r="U42" s="103"/>
      <c r="V42" s="103" t="s">
        <v>39</v>
      </c>
      <c r="W42" s="103"/>
      <c r="X42" s="103"/>
      <c r="Y42" s="103"/>
      <c r="Z42" s="103"/>
      <c r="AA42" s="103" t="s">
        <v>43</v>
      </c>
      <c r="AB42" s="103"/>
      <c r="AC42" s="29" t="s">
        <v>44</v>
      </c>
      <c r="AD42" s="103"/>
      <c r="AE42" s="103"/>
      <c r="AF42" s="103"/>
      <c r="AG42" s="103"/>
      <c r="AH42" s="103"/>
      <c r="AI42" s="29">
        <v>624</v>
      </c>
      <c r="AJ42" s="119">
        <f t="shared" ref="AJ42:AJ73" si="1">AI42/L42</f>
        <v>208</v>
      </c>
      <c r="AK42" s="32">
        <f>AI42*0.907185</f>
        <v>566.08344</v>
      </c>
      <c r="AL42" s="103"/>
      <c r="AM42" s="103"/>
      <c r="AN42" s="103"/>
      <c r="AO42" s="103"/>
      <c r="AP42" s="103">
        <v>5</v>
      </c>
      <c r="AQ42" s="148"/>
      <c r="AR42" s="73"/>
      <c r="AS42" s="70"/>
      <c r="AT42" s="29"/>
      <c r="AU42" s="103">
        <v>624</v>
      </c>
      <c r="AV42" s="103"/>
      <c r="AW42" s="103"/>
      <c r="AX42" s="103"/>
      <c r="AY42" s="103"/>
      <c r="AZ42" s="103"/>
      <c r="BA42" s="29" t="s">
        <v>38</v>
      </c>
      <c r="BB42" s="103"/>
      <c r="BC42" s="103"/>
      <c r="BD42" s="107">
        <v>14000</v>
      </c>
      <c r="BE42" s="29"/>
      <c r="BF42" s="103" t="s">
        <v>39</v>
      </c>
      <c r="BG42" s="103"/>
      <c r="BH42" s="107"/>
      <c r="BI42" s="107"/>
      <c r="BJ42" s="107"/>
      <c r="BK42" s="107"/>
      <c r="BL42" s="107"/>
      <c r="BM42" s="107"/>
      <c r="BN42" s="107"/>
      <c r="BO42" s="107"/>
      <c r="BP42" s="107"/>
      <c r="BQ42" s="29">
        <v>60</v>
      </c>
      <c r="BR42" s="29" t="s">
        <v>71</v>
      </c>
      <c r="BS42" s="103" t="s">
        <v>72</v>
      </c>
      <c r="BT42" s="103"/>
      <c r="BU42" s="103"/>
      <c r="BV42" s="103"/>
      <c r="BW42" s="103"/>
      <c r="BX42" s="103"/>
      <c r="BY42" s="103"/>
      <c r="BZ42" s="103"/>
      <c r="CA42" s="103"/>
      <c r="CB42" s="103"/>
      <c r="CC42" s="29" t="s">
        <v>180</v>
      </c>
      <c r="CD42" s="103"/>
      <c r="CE42" s="103"/>
      <c r="CF42" s="103"/>
      <c r="CG42" s="103"/>
      <c r="CH42" s="103"/>
      <c r="CI42" s="103"/>
      <c r="CJ42" s="103"/>
      <c r="CK42" s="103"/>
      <c r="CL42" s="103" t="s">
        <v>171</v>
      </c>
      <c r="CM42" s="103"/>
      <c r="CN42" s="103"/>
      <c r="CO42" s="103"/>
      <c r="CP42" s="103"/>
      <c r="CQ42" s="103"/>
      <c r="CR42" s="103"/>
      <c r="CS42" s="103"/>
      <c r="CT42" s="103"/>
      <c r="CU42" s="103"/>
      <c r="CV42" s="103"/>
      <c r="CW42" s="103"/>
      <c r="CX42" s="29"/>
      <c r="CY42" s="103"/>
      <c r="CZ42" s="103" t="s">
        <v>105</v>
      </c>
      <c r="DA42" s="29" t="s">
        <v>106</v>
      </c>
      <c r="DB42" s="103"/>
      <c r="DC42" s="103"/>
      <c r="DD42" s="29"/>
      <c r="DE42" s="103"/>
      <c r="DF42" s="103"/>
      <c r="DG42" s="103">
        <v>100</v>
      </c>
      <c r="DH42" s="29"/>
      <c r="DI42" s="103"/>
      <c r="DJ42" s="103"/>
      <c r="DK42" s="103"/>
      <c r="DL42" s="103"/>
      <c r="DM42" s="103"/>
      <c r="DN42" s="103"/>
      <c r="DO42" s="103"/>
      <c r="DP42" s="103"/>
      <c r="DQ42" s="103"/>
      <c r="DR42" s="103"/>
      <c r="DS42" s="29"/>
      <c r="DT42" s="103"/>
      <c r="DU42" s="103"/>
      <c r="DV42" s="103"/>
      <c r="DW42" s="103"/>
      <c r="DX42" s="103"/>
      <c r="DY42" s="103" t="s">
        <v>129</v>
      </c>
      <c r="DZ42" s="103"/>
      <c r="EA42" s="103"/>
      <c r="EB42" s="103"/>
      <c r="EC42" s="103"/>
      <c r="ED42" s="103"/>
      <c r="EE42" s="29"/>
      <c r="EF42" s="103"/>
      <c r="EG42" s="103"/>
      <c r="EH42" s="103">
        <v>100</v>
      </c>
      <c r="EI42" s="103"/>
      <c r="EJ42" s="103"/>
      <c r="EK42" s="103"/>
      <c r="EL42" s="99"/>
      <c r="EM42" s="111"/>
      <c r="EN42" s="111"/>
      <c r="EO42" s="231"/>
      <c r="EP42" s="111"/>
      <c r="EQ42" s="111"/>
      <c r="ER42" s="103"/>
      <c r="ES42" s="99">
        <v>310000</v>
      </c>
      <c r="ET42" s="111">
        <f>ES42/AI42</f>
        <v>496.79487179487177</v>
      </c>
      <c r="EU42" s="103"/>
      <c r="EV42" s="29">
        <v>0</v>
      </c>
      <c r="EW42" s="103">
        <v>50</v>
      </c>
      <c r="EX42" s="29"/>
      <c r="EY42" s="103"/>
      <c r="EZ42" s="103"/>
      <c r="FA42" s="103"/>
      <c r="FB42" s="103"/>
      <c r="FC42" s="103"/>
      <c r="FD42" s="103"/>
      <c r="FE42" s="103" t="s">
        <v>1003</v>
      </c>
      <c r="FF42" s="103" t="s">
        <v>1004</v>
      </c>
      <c r="FG42" s="103"/>
      <c r="FH42" s="103" t="s">
        <v>1005</v>
      </c>
      <c r="FI42" s="29" t="s">
        <v>38</v>
      </c>
      <c r="FJ42" s="103"/>
      <c r="FK42" s="103"/>
      <c r="FL42" s="29"/>
      <c r="FM42" s="103"/>
      <c r="FN42" s="103" t="s">
        <v>154</v>
      </c>
      <c r="FO42" s="103"/>
      <c r="FP42" s="103"/>
      <c r="FQ42" s="103"/>
      <c r="FR42" s="29"/>
      <c r="FS42" s="103"/>
      <c r="FT42" s="103"/>
      <c r="FU42" s="103"/>
      <c r="FV42" s="103" t="s">
        <v>162</v>
      </c>
      <c r="FW42" s="131"/>
      <c r="FX42" s="29"/>
      <c r="FY42" s="103" t="s">
        <v>159</v>
      </c>
      <c r="FZ42" s="103"/>
      <c r="GA42" s="103"/>
      <c r="GB42" s="103"/>
      <c r="GC42" s="103"/>
      <c r="GD42" s="29"/>
      <c r="GE42" s="29"/>
      <c r="GF42" s="103"/>
      <c r="GG42" s="103"/>
      <c r="GH42" s="103"/>
      <c r="GI42" s="29"/>
    </row>
    <row r="43" spans="1:191" ht="31.5">
      <c r="A43" s="228" t="s">
        <v>649</v>
      </c>
      <c r="B43" s="29" t="s">
        <v>626</v>
      </c>
      <c r="D43" s="14"/>
      <c r="E43" s="5" t="s">
        <v>767</v>
      </c>
      <c r="F43" s="5"/>
      <c r="G43" s="5" t="s">
        <v>615</v>
      </c>
      <c r="H43" s="5" t="s">
        <v>714</v>
      </c>
      <c r="I43" s="6" t="s">
        <v>768</v>
      </c>
      <c r="J43" s="5"/>
      <c r="K43" s="18"/>
      <c r="L43">
        <v>22</v>
      </c>
      <c r="M43">
        <v>22</v>
      </c>
      <c r="N43" s="4">
        <v>30.9</v>
      </c>
      <c r="O43">
        <v>30.9</v>
      </c>
      <c r="P43">
        <v>95000</v>
      </c>
      <c r="Q43" s="67">
        <f>L43*1000000/P43</f>
        <v>231.57894736842104</v>
      </c>
      <c r="S43" t="s">
        <v>39</v>
      </c>
      <c r="V43" t="s">
        <v>39</v>
      </c>
      <c r="X43" t="s">
        <v>38</v>
      </c>
      <c r="AC43" s="29" t="s">
        <v>44</v>
      </c>
      <c r="AI43" s="29">
        <v>3263</v>
      </c>
      <c r="AJ43" s="119">
        <f t="shared" si="1"/>
        <v>148.31818181818181</v>
      </c>
      <c r="AK43" s="32">
        <f>AI43*0.907185</f>
        <v>2960.1446550000001</v>
      </c>
      <c r="AP43">
        <v>4</v>
      </c>
      <c r="AQ43" s="148" t="s">
        <v>38</v>
      </c>
      <c r="AR43" s="73">
        <v>3812</v>
      </c>
      <c r="AS43" s="70">
        <v>3252</v>
      </c>
      <c r="AT43" s="29"/>
      <c r="AU43">
        <v>3047</v>
      </c>
      <c r="AV43">
        <v>216</v>
      </c>
      <c r="BA43" s="29" t="s">
        <v>38</v>
      </c>
      <c r="BD43" s="75">
        <v>563983</v>
      </c>
      <c r="BE43" s="29"/>
      <c r="BF43" t="s">
        <v>39</v>
      </c>
      <c r="BH43" s="75"/>
      <c r="BI43" s="75"/>
      <c r="BJ43" s="75"/>
      <c r="BK43" s="75"/>
      <c r="BL43" s="75"/>
      <c r="BM43" s="75"/>
      <c r="BN43" s="75"/>
      <c r="BO43" s="75"/>
      <c r="BP43" s="75"/>
      <c r="BQ43" s="29">
        <v>60</v>
      </c>
      <c r="BR43" s="29" t="s">
        <v>71</v>
      </c>
      <c r="BS43" t="s">
        <v>72</v>
      </c>
      <c r="CC43" s="29"/>
      <c r="CD43" t="s">
        <v>170</v>
      </c>
      <c r="CK43" t="s">
        <v>170</v>
      </c>
      <c r="CU43" t="s">
        <v>187</v>
      </c>
      <c r="CX43" s="29" t="s">
        <v>103</v>
      </c>
      <c r="DA43" s="29" t="s">
        <v>106</v>
      </c>
      <c r="DD43" s="29"/>
      <c r="DH43" s="29"/>
      <c r="DS43" s="29" t="s">
        <v>123</v>
      </c>
      <c r="DZ43" t="s">
        <v>130</v>
      </c>
      <c r="EE43" s="29"/>
      <c r="EH43" t="s">
        <v>371</v>
      </c>
      <c r="EI43" t="s">
        <v>372</v>
      </c>
      <c r="EL43" s="99"/>
      <c r="EM43" s="112"/>
      <c r="EN43" s="112"/>
      <c r="EO43" s="112"/>
      <c r="EP43" s="68">
        <f>1200*0.22</f>
        <v>264</v>
      </c>
      <c r="EQ43" s="112"/>
      <c r="ER43" s="113" t="s">
        <v>373</v>
      </c>
      <c r="ES43" s="99">
        <v>2300000</v>
      </c>
      <c r="ET43" s="111">
        <f>ES43/AI43</f>
        <v>704.87281642660128</v>
      </c>
      <c r="EV43" s="29">
        <v>10</v>
      </c>
      <c r="EW43">
        <v>50</v>
      </c>
      <c r="EX43" s="29"/>
      <c r="FA43" t="s">
        <v>374</v>
      </c>
      <c r="FE43" t="s">
        <v>303</v>
      </c>
      <c r="FF43" t="s">
        <v>221</v>
      </c>
      <c r="FI43" s="29"/>
      <c r="FJ43" t="s">
        <v>39</v>
      </c>
      <c r="FK43" t="s">
        <v>375</v>
      </c>
      <c r="FL43" s="29"/>
      <c r="FR43" s="29"/>
      <c r="FT43" t="s">
        <v>160</v>
      </c>
      <c r="FW43" s="40" t="s">
        <v>375</v>
      </c>
      <c r="FX43" s="29"/>
      <c r="FZ43" t="s">
        <v>160</v>
      </c>
      <c r="GD43" s="29"/>
      <c r="GE43" s="29"/>
      <c r="GI43" s="29"/>
    </row>
    <row r="44" spans="1:191" ht="45">
      <c r="A44" s="228" t="s">
        <v>650</v>
      </c>
      <c r="B44" s="43" t="s">
        <v>467</v>
      </c>
      <c r="C44" s="41"/>
      <c r="D44" s="5"/>
      <c r="E44" s="5" t="s">
        <v>769</v>
      </c>
      <c r="F44" s="5"/>
      <c r="G44" s="5" t="s">
        <v>770</v>
      </c>
      <c r="H44" s="5" t="s">
        <v>714</v>
      </c>
      <c r="I44" s="6" t="s">
        <v>771</v>
      </c>
      <c r="J44" s="5"/>
      <c r="K44" s="20"/>
      <c r="L44" s="41">
        <v>0.48199999999999998</v>
      </c>
      <c r="M44" s="41">
        <v>0.48199999999999998</v>
      </c>
      <c r="N44" s="65">
        <v>1.2</v>
      </c>
      <c r="O44" s="41">
        <v>1.2</v>
      </c>
      <c r="P44" s="41">
        <v>11</v>
      </c>
      <c r="Q44" s="67" t="s">
        <v>1071</v>
      </c>
      <c r="R44" s="66" t="s">
        <v>38</v>
      </c>
      <c r="S44" s="41"/>
      <c r="T44" s="41" t="s">
        <v>339</v>
      </c>
      <c r="U44" s="41"/>
      <c r="V44" s="41" t="s">
        <v>39</v>
      </c>
      <c r="W44" s="41"/>
      <c r="X44" s="41"/>
      <c r="Y44" s="41" t="s">
        <v>39</v>
      </c>
      <c r="Z44" s="41"/>
      <c r="AA44" s="41" t="s">
        <v>43</v>
      </c>
      <c r="AB44" s="42" t="s">
        <v>468</v>
      </c>
      <c r="AC44" s="43"/>
      <c r="AD44" s="41"/>
      <c r="AE44" s="41"/>
      <c r="AF44" s="41"/>
      <c r="AG44" s="41"/>
      <c r="AH44" s="42"/>
      <c r="AI44" s="132">
        <v>169.7</v>
      </c>
      <c r="AJ44" s="119">
        <f t="shared" si="1"/>
        <v>352.0746887966805</v>
      </c>
      <c r="AK44" s="32">
        <f>AI44*0.907185</f>
        <v>153.94929449999998</v>
      </c>
      <c r="AL44" s="41"/>
      <c r="AM44" s="41"/>
      <c r="AN44" s="41"/>
      <c r="AO44" s="41"/>
      <c r="AP44" s="42"/>
      <c r="AQ44" s="148"/>
      <c r="AR44" s="73"/>
      <c r="AS44" s="70"/>
      <c r="AT44" s="43"/>
      <c r="AU44" s="133">
        <f>AI44</f>
        <v>169.7</v>
      </c>
      <c r="AV44" s="41"/>
      <c r="AW44" s="41"/>
      <c r="AX44" s="41"/>
      <c r="AY44" s="41"/>
      <c r="AZ44" s="134" t="s">
        <v>1112</v>
      </c>
      <c r="BA44" s="43"/>
      <c r="BB44" s="41"/>
      <c r="BC44" s="41"/>
      <c r="BD44" s="92"/>
      <c r="BE44" s="43"/>
      <c r="BF44" s="41"/>
      <c r="BG44" s="41"/>
      <c r="BH44" s="95"/>
      <c r="BI44" s="95"/>
      <c r="BJ44" s="95"/>
      <c r="BK44" s="95"/>
      <c r="BL44" s="95"/>
      <c r="BM44" s="95"/>
      <c r="BN44" s="95"/>
      <c r="BO44" s="95"/>
      <c r="BP44" s="92"/>
      <c r="BQ44" s="98"/>
      <c r="BR44" s="43"/>
      <c r="BS44" s="41"/>
      <c r="BT44" s="41"/>
      <c r="BU44" s="41"/>
      <c r="BV44" s="41"/>
      <c r="BW44" s="41"/>
      <c r="BX44" s="41"/>
      <c r="BY44" s="41"/>
      <c r="BZ44" s="41"/>
      <c r="CA44" s="41"/>
      <c r="CB44" s="42"/>
      <c r="CC44" s="43"/>
      <c r="CD44" s="41"/>
      <c r="CE44" s="41"/>
      <c r="CF44" s="41"/>
      <c r="CG44" s="41"/>
      <c r="CH44" s="41"/>
      <c r="CI44" s="41"/>
      <c r="CJ44" s="41"/>
      <c r="CK44" s="41"/>
      <c r="CL44" s="41"/>
      <c r="CM44" s="41"/>
      <c r="CN44" s="41"/>
      <c r="CO44" s="41"/>
      <c r="CP44" s="41"/>
      <c r="CQ44" s="41"/>
      <c r="CR44" s="41"/>
      <c r="CS44" s="41"/>
      <c r="CT44" s="41"/>
      <c r="CU44" s="41"/>
      <c r="CV44" s="41"/>
      <c r="CW44" s="42"/>
      <c r="CX44" s="43"/>
      <c r="CY44" s="41"/>
      <c r="CZ44" s="42"/>
      <c r="DA44" s="43"/>
      <c r="DB44" s="41"/>
      <c r="DC44" s="42"/>
      <c r="DD44" s="43"/>
      <c r="DE44" s="41"/>
      <c r="DF44" s="41"/>
      <c r="DG44" s="42"/>
      <c r="DH44" s="43"/>
      <c r="DI44" s="41"/>
      <c r="DJ44" s="41"/>
      <c r="DK44" s="41"/>
      <c r="DL44" s="41"/>
      <c r="DM44" s="41"/>
      <c r="DN44" s="41"/>
      <c r="DO44" s="41"/>
      <c r="DP44" s="41"/>
      <c r="DQ44" s="41"/>
      <c r="DR44" s="42"/>
      <c r="DS44" s="43"/>
      <c r="DT44" s="41"/>
      <c r="DU44" s="41"/>
      <c r="DV44" s="41"/>
      <c r="DW44" s="41"/>
      <c r="DX44" s="41"/>
      <c r="DY44" s="41"/>
      <c r="DZ44" s="41"/>
      <c r="EA44" s="41"/>
      <c r="EB44" s="41"/>
      <c r="EC44" s="41"/>
      <c r="ED44" s="42"/>
      <c r="EE44" s="43"/>
      <c r="EF44" s="41"/>
      <c r="EG44" s="41"/>
      <c r="EH44" s="41"/>
      <c r="EI44" s="41"/>
      <c r="EJ44" s="41"/>
      <c r="EK44" s="42"/>
      <c r="EL44" s="100"/>
      <c r="EM44" s="114"/>
      <c r="EN44" s="114"/>
      <c r="EO44" s="114"/>
      <c r="EP44" s="114"/>
      <c r="EQ44" s="114"/>
      <c r="ER44" s="42"/>
      <c r="ES44" s="100"/>
      <c r="ET44" s="111"/>
      <c r="EU44" s="42"/>
      <c r="EV44" s="43"/>
      <c r="EW44" s="42"/>
      <c r="EX44" s="43"/>
      <c r="EY44" s="41"/>
      <c r="EZ44" s="41"/>
      <c r="FA44" s="41"/>
      <c r="FB44" s="41"/>
      <c r="FC44" s="41"/>
      <c r="FD44" s="41"/>
      <c r="FE44" s="41"/>
      <c r="FF44" s="41"/>
      <c r="FG44" s="41"/>
      <c r="FH44" s="42"/>
      <c r="FI44" s="43"/>
      <c r="FJ44" s="41"/>
      <c r="FK44" s="42"/>
      <c r="FL44" s="43"/>
      <c r="FM44" s="41"/>
      <c r="FN44" s="41"/>
      <c r="FO44" s="41"/>
      <c r="FP44" s="41"/>
      <c r="FQ44" s="42"/>
      <c r="FR44" s="43"/>
      <c r="FS44" s="41"/>
      <c r="FT44" s="41"/>
      <c r="FU44" s="41"/>
      <c r="FV44" s="41"/>
      <c r="FW44" s="239"/>
      <c r="FX44" s="43"/>
      <c r="FY44" s="41"/>
      <c r="FZ44" s="41"/>
      <c r="GA44" s="41"/>
      <c r="GB44" s="41"/>
      <c r="GC44" s="42"/>
      <c r="GD44" s="98"/>
      <c r="GE44" s="43"/>
      <c r="GF44" s="41"/>
      <c r="GG44" s="41"/>
      <c r="GH44" s="42"/>
      <c r="GI44" s="29"/>
    </row>
    <row r="45" spans="1:191" ht="30">
      <c r="A45" s="228" t="s">
        <v>651</v>
      </c>
      <c r="B45" s="29" t="s">
        <v>200</v>
      </c>
      <c r="D45" s="14"/>
      <c r="E45" s="5" t="s">
        <v>772</v>
      </c>
      <c r="F45" s="5"/>
      <c r="G45" s="5" t="s">
        <v>773</v>
      </c>
      <c r="H45" s="5" t="s">
        <v>714</v>
      </c>
      <c r="I45" s="6" t="s">
        <v>774</v>
      </c>
      <c r="J45" s="5"/>
      <c r="K45" s="20"/>
      <c r="L45">
        <v>9.91</v>
      </c>
      <c r="M45">
        <v>9.91</v>
      </c>
      <c r="N45" s="4">
        <v>12.4</v>
      </c>
      <c r="O45">
        <v>12.4</v>
      </c>
      <c r="P45">
        <v>40793</v>
      </c>
      <c r="Q45" s="67">
        <f>L45*1000000/P45</f>
        <v>242.933836687667</v>
      </c>
      <c r="R45" t="s">
        <v>38</v>
      </c>
      <c r="U45" t="s">
        <v>38</v>
      </c>
      <c r="W45" t="s">
        <v>201</v>
      </c>
      <c r="X45" t="s">
        <v>38</v>
      </c>
      <c r="AB45" t="s">
        <v>202</v>
      </c>
      <c r="AC45" s="29"/>
      <c r="AE45" t="s">
        <v>46</v>
      </c>
      <c r="AI45" s="33">
        <f>AL45*AP45/100</f>
        <v>1906.8</v>
      </c>
      <c r="AJ45" s="119">
        <f t="shared" si="1"/>
        <v>192.41170534813318</v>
      </c>
      <c r="AK45" s="32">
        <f>AI45*0.907185</f>
        <v>1729.8203579999999</v>
      </c>
      <c r="AL45">
        <v>9080</v>
      </c>
      <c r="AP45">
        <v>21</v>
      </c>
      <c r="AQ45" s="148"/>
      <c r="AR45" s="73"/>
      <c r="AS45" s="70"/>
      <c r="AT45" s="29"/>
      <c r="AV45" s="32">
        <f>AI45</f>
        <v>1906.8</v>
      </c>
      <c r="BA45" s="29" t="s">
        <v>38</v>
      </c>
      <c r="BD45" s="75">
        <v>11355645</v>
      </c>
      <c r="BE45" s="29"/>
      <c r="BF45" t="s">
        <v>39</v>
      </c>
      <c r="BH45" s="75"/>
      <c r="BI45" s="75"/>
      <c r="BJ45" s="75"/>
      <c r="BK45" s="75"/>
      <c r="BL45" s="75"/>
      <c r="BM45" s="75"/>
      <c r="BN45" s="75"/>
      <c r="BO45" s="75"/>
      <c r="BP45" s="75"/>
      <c r="BQ45" s="29">
        <v>40</v>
      </c>
      <c r="BR45" s="29" t="s">
        <v>71</v>
      </c>
      <c r="BS45" t="s">
        <v>72</v>
      </c>
      <c r="CC45" s="29"/>
      <c r="CD45" t="s">
        <v>170</v>
      </c>
      <c r="CL45" t="s">
        <v>171</v>
      </c>
      <c r="CW45" t="s">
        <v>203</v>
      </c>
      <c r="CX45" s="29"/>
      <c r="CY45" t="s">
        <v>104</v>
      </c>
      <c r="DA45" s="29" t="s">
        <v>106</v>
      </c>
      <c r="DD45" s="29"/>
      <c r="DG45">
        <v>100</v>
      </c>
      <c r="DH45" s="29"/>
      <c r="DR45" t="s">
        <v>122</v>
      </c>
      <c r="DS45" s="29"/>
      <c r="DU45" t="s">
        <v>125</v>
      </c>
      <c r="DY45" t="s">
        <v>129</v>
      </c>
      <c r="DZ45" t="s">
        <v>130</v>
      </c>
      <c r="EC45" t="s">
        <v>204</v>
      </c>
      <c r="EE45" s="29"/>
      <c r="EI45">
        <v>100</v>
      </c>
      <c r="EL45" s="99"/>
      <c r="EM45" s="112"/>
      <c r="EN45" s="112"/>
      <c r="EO45" s="112"/>
      <c r="EP45" s="113"/>
      <c r="EQ45" s="112"/>
      <c r="ES45" s="99">
        <v>133367</v>
      </c>
      <c r="ET45" s="111">
        <f>ES45/AI45</f>
        <v>69.94283616530312</v>
      </c>
      <c r="EU45" t="s">
        <v>205</v>
      </c>
      <c r="EV45" s="29">
        <v>10</v>
      </c>
      <c r="EW45">
        <v>-20</v>
      </c>
      <c r="EX45" s="29"/>
      <c r="FD45" t="s">
        <v>206</v>
      </c>
      <c r="FI45" s="29" t="s">
        <v>38</v>
      </c>
      <c r="FK45" t="s">
        <v>207</v>
      </c>
      <c r="FL45" s="29"/>
      <c r="FN45" t="s">
        <v>154</v>
      </c>
      <c r="FR45" s="29"/>
      <c r="FT45" t="s">
        <v>160</v>
      </c>
      <c r="FX45" s="29"/>
      <c r="FZ45" t="s">
        <v>160</v>
      </c>
      <c r="GD45" s="29"/>
      <c r="GE45" s="29"/>
      <c r="GI45" s="29"/>
    </row>
    <row r="46" spans="1:191" ht="15.75">
      <c r="A46" s="228" t="s">
        <v>1014</v>
      </c>
      <c r="B46" s="29"/>
      <c r="D46" s="5"/>
      <c r="E46" s="5" t="s">
        <v>951</v>
      </c>
      <c r="F46" s="5"/>
      <c r="G46" s="5" t="s">
        <v>952</v>
      </c>
      <c r="H46" s="5" t="s">
        <v>714</v>
      </c>
      <c r="I46" s="6" t="s">
        <v>953</v>
      </c>
      <c r="J46" s="14"/>
      <c r="K46" s="20"/>
      <c r="L46" s="50">
        <v>3.01</v>
      </c>
      <c r="M46" s="50"/>
      <c r="N46" s="61">
        <v>3.01</v>
      </c>
      <c r="O46" s="50"/>
      <c r="Q46" s="67"/>
      <c r="AC46" s="29"/>
      <c r="AI46" s="33">
        <f>1.10231162684681*AK46</f>
        <v>683.43320864502221</v>
      </c>
      <c r="AJ46" s="119">
        <f t="shared" si="1"/>
        <v>227.05422214120341</v>
      </c>
      <c r="AK46" s="47">
        <v>620</v>
      </c>
      <c r="AQ46" s="148" t="s">
        <v>38</v>
      </c>
      <c r="AR46" s="73">
        <v>620</v>
      </c>
      <c r="AS46" s="70">
        <v>655.1</v>
      </c>
      <c r="AT46" s="29"/>
      <c r="AV46" s="34">
        <f>AI46</f>
        <v>683.43320864502221</v>
      </c>
      <c r="AZ46" s="34" t="s">
        <v>1113</v>
      </c>
      <c r="BA46" s="29"/>
      <c r="BD46" s="75"/>
      <c r="BE46" s="29"/>
      <c r="BH46" s="75"/>
      <c r="BI46" s="75"/>
      <c r="BJ46" s="75"/>
      <c r="BK46" s="75"/>
      <c r="BL46" s="75"/>
      <c r="BM46" s="75"/>
      <c r="BN46" s="75"/>
      <c r="BO46" s="75"/>
      <c r="BP46" s="75"/>
      <c r="BQ46" s="29"/>
      <c r="BR46" s="29"/>
      <c r="CC46" s="29"/>
      <c r="CX46" s="29"/>
      <c r="DA46" s="29"/>
      <c r="DD46" s="29"/>
      <c r="DH46" s="29"/>
      <c r="DS46" s="29"/>
      <c r="EE46" s="29"/>
      <c r="EL46" s="99"/>
      <c r="EM46" s="112"/>
      <c r="EN46" s="112"/>
      <c r="EO46" s="112"/>
      <c r="EP46" s="112"/>
      <c r="EQ46" s="112"/>
      <c r="ES46" s="99"/>
      <c r="ET46" s="111"/>
      <c r="EV46" s="29"/>
      <c r="EX46" s="29"/>
      <c r="FI46" s="29"/>
      <c r="FL46" s="29"/>
      <c r="FR46" s="29"/>
      <c r="FX46" s="29"/>
      <c r="GD46" s="29"/>
      <c r="GE46" s="29"/>
      <c r="GI46" s="29"/>
    </row>
    <row r="47" spans="1:191" ht="15.75">
      <c r="A47" s="228" t="s">
        <v>652</v>
      </c>
      <c r="B47" s="29" t="s">
        <v>233</v>
      </c>
      <c r="D47" s="13"/>
      <c r="E47" s="5" t="s">
        <v>779</v>
      </c>
      <c r="F47" s="5"/>
      <c r="G47" s="5" t="s">
        <v>780</v>
      </c>
      <c r="H47" s="5" t="s">
        <v>714</v>
      </c>
      <c r="I47" s="6" t="s">
        <v>781</v>
      </c>
      <c r="J47" s="5"/>
      <c r="K47" s="18"/>
      <c r="L47">
        <v>3.8</v>
      </c>
      <c r="M47">
        <v>3.8</v>
      </c>
      <c r="N47" s="4">
        <v>5.7</v>
      </c>
      <c r="O47">
        <v>5.7</v>
      </c>
      <c r="P47">
        <v>32000</v>
      </c>
      <c r="Q47" s="67">
        <f>L47*1000000/P47</f>
        <v>118.75</v>
      </c>
      <c r="S47" t="s">
        <v>39</v>
      </c>
      <c r="T47" t="s">
        <v>234</v>
      </c>
      <c r="V47" t="s">
        <v>39</v>
      </c>
      <c r="X47" t="s">
        <v>38</v>
      </c>
      <c r="AC47" s="29"/>
      <c r="AI47" s="122">
        <v>312</v>
      </c>
      <c r="AJ47" s="119">
        <f t="shared" si="1"/>
        <v>82.10526315789474</v>
      </c>
      <c r="AK47" s="32">
        <f>AI47*0.907185</f>
        <v>283.04172</v>
      </c>
      <c r="AQ47" s="148"/>
      <c r="AR47" s="73"/>
      <c r="AS47" s="70"/>
      <c r="AT47" s="87">
        <f>AI47</f>
        <v>312</v>
      </c>
      <c r="AZ47" s="34" t="s">
        <v>1114</v>
      </c>
      <c r="BA47" s="29"/>
      <c r="BD47" s="75"/>
      <c r="BE47" s="29"/>
      <c r="BH47" s="75"/>
      <c r="BI47" s="75"/>
      <c r="BJ47" s="75"/>
      <c r="BK47" s="75"/>
      <c r="BL47" s="75"/>
      <c r="BM47" s="75"/>
      <c r="BN47" s="75"/>
      <c r="BO47" s="75"/>
      <c r="BP47" s="75"/>
      <c r="BQ47" s="29"/>
      <c r="BR47" s="29"/>
      <c r="CC47" s="29"/>
      <c r="CX47" s="29"/>
      <c r="DA47" s="29"/>
      <c r="DD47" s="29"/>
      <c r="DH47" s="29"/>
      <c r="DS47" s="29"/>
      <c r="EE47" s="29"/>
      <c r="EL47" s="99"/>
      <c r="EM47" s="112"/>
      <c r="EN47" s="112"/>
      <c r="EO47" s="112"/>
      <c r="EP47" s="112"/>
      <c r="EQ47" s="112"/>
      <c r="ES47" s="99"/>
      <c r="ET47" s="111"/>
      <c r="EV47" s="29"/>
      <c r="EX47" s="29"/>
      <c r="FI47" s="29"/>
      <c r="FL47" s="29"/>
      <c r="FR47" s="29"/>
      <c r="FX47" s="29"/>
      <c r="GD47" s="29"/>
      <c r="GE47" s="29"/>
      <c r="GI47" s="29"/>
    </row>
    <row r="48" spans="1:191" ht="15.75">
      <c r="A48" s="228" t="s">
        <v>1028</v>
      </c>
      <c r="B48" s="29"/>
      <c r="D48" s="13"/>
      <c r="E48" s="5"/>
      <c r="F48" s="5"/>
      <c r="G48" s="5"/>
      <c r="H48" s="5"/>
      <c r="I48" s="6"/>
      <c r="J48" s="5"/>
      <c r="K48" s="18"/>
      <c r="L48" s="50">
        <v>1.6</v>
      </c>
      <c r="M48" s="50"/>
      <c r="N48" s="61">
        <v>1.6</v>
      </c>
      <c r="O48" s="50"/>
      <c r="Q48" s="67"/>
      <c r="AC48" s="29"/>
      <c r="AI48" s="33">
        <f>1.10231162684681*AK48</f>
        <v>435.85401725522865</v>
      </c>
      <c r="AJ48" s="119">
        <f t="shared" si="1"/>
        <v>272.40876078451788</v>
      </c>
      <c r="AK48" s="47">
        <v>395.4</v>
      </c>
      <c r="AQ48" s="148" t="s">
        <v>38</v>
      </c>
      <c r="AR48" s="73">
        <v>395.4</v>
      </c>
      <c r="AS48" s="70"/>
      <c r="AT48" s="29"/>
      <c r="AU48" s="34">
        <f>AI48</f>
        <v>435.85401725522865</v>
      </c>
      <c r="AZ48" s="34" t="s">
        <v>1115</v>
      </c>
      <c r="BA48" s="29"/>
      <c r="BD48" s="75"/>
      <c r="BE48" s="29"/>
      <c r="BH48" s="75"/>
      <c r="BI48" s="75"/>
      <c r="BJ48" s="75"/>
      <c r="BK48" s="75"/>
      <c r="BL48" s="75"/>
      <c r="BM48" s="75"/>
      <c r="BN48" s="75"/>
      <c r="BO48" s="75"/>
      <c r="BP48" s="75"/>
      <c r="BQ48" s="29"/>
      <c r="BR48" s="29"/>
      <c r="CC48" s="29"/>
      <c r="CX48" s="29"/>
      <c r="DA48" s="29"/>
      <c r="DD48" s="29"/>
      <c r="DH48" s="29"/>
      <c r="DS48" s="29"/>
      <c r="EE48" s="29"/>
      <c r="EL48" s="99"/>
      <c r="EM48" s="112"/>
      <c r="EN48" s="112"/>
      <c r="EO48" s="112"/>
      <c r="EP48" s="112"/>
      <c r="EQ48" s="112"/>
      <c r="ES48" s="99"/>
      <c r="ET48" s="111"/>
      <c r="EV48" s="29"/>
      <c r="EX48" s="29"/>
      <c r="FI48" s="29"/>
      <c r="FL48" s="29"/>
      <c r="FR48" s="29"/>
      <c r="FX48" s="29"/>
      <c r="GD48" s="29"/>
      <c r="GE48" s="29"/>
      <c r="GI48" s="29"/>
    </row>
    <row r="49" spans="1:191" ht="15.75">
      <c r="A49" s="228" t="s">
        <v>653</v>
      </c>
      <c r="B49" s="29" t="s">
        <v>208</v>
      </c>
      <c r="D49" s="14"/>
      <c r="E49" s="5" t="s">
        <v>782</v>
      </c>
      <c r="F49" s="5"/>
      <c r="G49" s="5" t="s">
        <v>783</v>
      </c>
      <c r="H49" s="5" t="s">
        <v>714</v>
      </c>
      <c r="I49" s="6" t="s">
        <v>784</v>
      </c>
      <c r="J49" s="5"/>
      <c r="K49" s="18"/>
      <c r="L49">
        <v>1.3149999999999999</v>
      </c>
      <c r="M49">
        <v>1.3149999999999999</v>
      </c>
      <c r="N49" s="4">
        <v>3.2</v>
      </c>
      <c r="O49">
        <v>3.2</v>
      </c>
      <c r="P49">
        <v>7039</v>
      </c>
      <c r="Q49" s="67">
        <f t="shared" ref="Q49:Q58" si="2">L49*1000000/P49</f>
        <v>186.8163091348203</v>
      </c>
      <c r="S49" t="s">
        <v>39</v>
      </c>
      <c r="U49" t="s">
        <v>38</v>
      </c>
      <c r="W49" t="s">
        <v>209</v>
      </c>
      <c r="Y49" t="s">
        <v>39</v>
      </c>
      <c r="AC49" s="29" t="s">
        <v>44</v>
      </c>
      <c r="AI49" s="29">
        <v>190</v>
      </c>
      <c r="AJ49" s="119">
        <f t="shared" si="1"/>
        <v>144.48669201520914</v>
      </c>
      <c r="AK49" s="32">
        <f>AI49*0.907185</f>
        <v>172.36515</v>
      </c>
      <c r="AP49">
        <v>22</v>
      </c>
      <c r="AQ49" s="148"/>
      <c r="AR49" s="73"/>
      <c r="AS49" s="70"/>
      <c r="AT49" s="29"/>
      <c r="AU49">
        <v>190</v>
      </c>
      <c r="BA49" s="29" t="s">
        <v>38</v>
      </c>
      <c r="BD49" s="75">
        <v>2400975</v>
      </c>
      <c r="BE49" s="29"/>
      <c r="BF49" t="s">
        <v>39</v>
      </c>
      <c r="BH49" s="75"/>
      <c r="BI49" s="75"/>
      <c r="BJ49" s="75"/>
      <c r="BK49" s="75"/>
      <c r="BL49" s="75"/>
      <c r="BM49" s="75"/>
      <c r="BN49" s="75"/>
      <c r="BO49" s="75"/>
      <c r="BP49" s="75"/>
      <c r="BQ49" s="29">
        <v>2</v>
      </c>
      <c r="BR49" s="29"/>
      <c r="BS49" t="s">
        <v>72</v>
      </c>
      <c r="CC49" s="29"/>
      <c r="CD49" t="s">
        <v>170</v>
      </c>
      <c r="CK49" t="s">
        <v>170</v>
      </c>
      <c r="CR49" t="s">
        <v>170</v>
      </c>
      <c r="CX49" s="29"/>
      <c r="CY49" t="s">
        <v>104</v>
      </c>
      <c r="DA49" s="29" t="s">
        <v>106</v>
      </c>
      <c r="DD49" s="29"/>
      <c r="DG49">
        <v>100</v>
      </c>
      <c r="DH49" s="29"/>
      <c r="DR49" t="s">
        <v>122</v>
      </c>
      <c r="DS49" s="29" t="s">
        <v>123</v>
      </c>
      <c r="DZ49" t="s">
        <v>130</v>
      </c>
      <c r="EE49" s="29"/>
      <c r="EH49">
        <v>100</v>
      </c>
      <c r="EL49" s="99"/>
      <c r="EM49" s="112"/>
      <c r="EN49" s="112"/>
      <c r="EO49" s="112">
        <v>105</v>
      </c>
      <c r="EP49" s="112"/>
      <c r="EQ49" s="112"/>
      <c r="ES49" s="99">
        <v>110716.2</v>
      </c>
      <c r="ET49" s="111">
        <f>ES49/AI49</f>
        <v>582.71684210526314</v>
      </c>
      <c r="EV49" s="29">
        <v>5</v>
      </c>
      <c r="EW49">
        <v>20</v>
      </c>
      <c r="EX49" s="29"/>
      <c r="FB49" t="s">
        <v>210</v>
      </c>
      <c r="FI49" s="29" t="s">
        <v>38</v>
      </c>
      <c r="FL49" s="29"/>
      <c r="FN49" t="s">
        <v>154</v>
      </c>
      <c r="FQ49" t="s">
        <v>211</v>
      </c>
      <c r="FR49" s="29"/>
      <c r="FT49" t="s">
        <v>160</v>
      </c>
      <c r="FW49" s="40" t="s">
        <v>212</v>
      </c>
      <c r="FX49" s="29"/>
      <c r="GB49" t="s">
        <v>162</v>
      </c>
      <c r="GC49" t="s">
        <v>213</v>
      </c>
      <c r="GD49" s="29"/>
      <c r="GE49" s="29"/>
      <c r="GI49" s="29"/>
    </row>
    <row r="50" spans="1:191" ht="31.5">
      <c r="A50" s="228" t="s">
        <v>654</v>
      </c>
      <c r="B50" s="29" t="s">
        <v>545</v>
      </c>
      <c r="D50" s="5"/>
      <c r="E50" s="5" t="s">
        <v>785</v>
      </c>
      <c r="F50" s="5"/>
      <c r="G50" s="5" t="s">
        <v>786</v>
      </c>
      <c r="H50" s="5" t="s">
        <v>714</v>
      </c>
      <c r="I50" s="6" t="s">
        <v>787</v>
      </c>
      <c r="J50" s="5"/>
      <c r="K50" s="20"/>
      <c r="L50">
        <v>31.72</v>
      </c>
      <c r="M50">
        <v>31.72</v>
      </c>
      <c r="N50" s="4">
        <v>52</v>
      </c>
      <c r="O50">
        <v>52</v>
      </c>
      <c r="P50">
        <v>200000</v>
      </c>
      <c r="Q50" s="67">
        <f t="shared" si="2"/>
        <v>158.6</v>
      </c>
      <c r="S50" t="s">
        <v>39</v>
      </c>
      <c r="V50" t="s">
        <v>39</v>
      </c>
      <c r="X50" t="s">
        <v>38</v>
      </c>
      <c r="AC50" s="29"/>
      <c r="AI50" s="36">
        <v>6299</v>
      </c>
      <c r="AJ50" s="119">
        <f t="shared" si="1"/>
        <v>198.5813366960908</v>
      </c>
      <c r="AK50" s="32">
        <f>AI50*0.907185</f>
        <v>5714.3583150000004</v>
      </c>
      <c r="AL50" s="37">
        <v>24149</v>
      </c>
      <c r="AM50" s="28"/>
      <c r="AN50" s="28"/>
      <c r="AO50" s="28"/>
      <c r="AP50" s="37">
        <v>26</v>
      </c>
      <c r="AQ50" s="148" t="s">
        <v>38</v>
      </c>
      <c r="AR50" s="73">
        <v>4840.33</v>
      </c>
      <c r="AS50" s="70"/>
      <c r="AT50" s="29">
        <f>AI50</f>
        <v>6299</v>
      </c>
      <c r="BA50" s="35" t="s">
        <v>38</v>
      </c>
      <c r="BB50" s="40"/>
      <c r="BC50" s="40"/>
      <c r="BD50" s="93">
        <v>24667750</v>
      </c>
      <c r="BE50" s="35" t="s">
        <v>38</v>
      </c>
      <c r="BF50" s="40"/>
      <c r="BG50" s="40"/>
      <c r="BH50" s="96"/>
      <c r="BI50" s="96"/>
      <c r="BJ50" s="93">
        <v>7538730</v>
      </c>
      <c r="BK50" s="96"/>
      <c r="BL50" s="96"/>
      <c r="BM50" s="96"/>
      <c r="BN50" s="96"/>
      <c r="BO50" s="96"/>
      <c r="BP50" s="96" t="s">
        <v>999</v>
      </c>
      <c r="BQ50" s="35"/>
      <c r="BR50" s="29" t="s">
        <v>71</v>
      </c>
      <c r="BS50" t="s">
        <v>72</v>
      </c>
      <c r="BU50" t="s">
        <v>74</v>
      </c>
      <c r="BV50" t="s">
        <v>75</v>
      </c>
      <c r="BZ50" t="s">
        <v>79</v>
      </c>
      <c r="CC50" s="29"/>
      <c r="CD50" t="s">
        <v>83</v>
      </c>
      <c r="CL50" t="s">
        <v>91</v>
      </c>
      <c r="CX50" s="29"/>
      <c r="CZ50" t="s">
        <v>105</v>
      </c>
      <c r="DA50" s="29" t="s">
        <v>106</v>
      </c>
      <c r="DD50" s="29">
        <v>100</v>
      </c>
      <c r="DH50" s="29" t="s">
        <v>112</v>
      </c>
      <c r="DO50" t="s">
        <v>119</v>
      </c>
      <c r="DS50" s="29"/>
      <c r="DV50" t="s">
        <v>126</v>
      </c>
      <c r="ED50" t="s">
        <v>998</v>
      </c>
      <c r="EE50" s="88">
        <v>30</v>
      </c>
      <c r="EF50" s="34">
        <v>60</v>
      </c>
      <c r="EG50" s="34">
        <v>10</v>
      </c>
      <c r="EL50" s="99"/>
      <c r="EM50" s="112"/>
      <c r="EN50" s="112"/>
      <c r="EO50" s="112"/>
      <c r="EP50" s="112"/>
      <c r="EQ50" s="112"/>
      <c r="ES50" s="99"/>
      <c r="ET50" s="111"/>
      <c r="EV50" s="29"/>
      <c r="EX50" s="29"/>
      <c r="FI50" s="29"/>
      <c r="FL50" s="29"/>
      <c r="FR50" s="29"/>
      <c r="FX50" s="29"/>
      <c r="GD50" s="29"/>
      <c r="GE50" s="29"/>
      <c r="GI50" s="29"/>
    </row>
    <row r="51" spans="1:191" ht="15.75">
      <c r="A51" s="228" t="s">
        <v>1210</v>
      </c>
      <c r="B51" s="29" t="s">
        <v>1199</v>
      </c>
      <c r="C51" s="4"/>
      <c r="D51" s="14"/>
      <c r="E51" s="5" t="s">
        <v>788</v>
      </c>
      <c r="F51" s="5"/>
      <c r="G51" s="5" t="s">
        <v>708</v>
      </c>
      <c r="H51" s="5" t="s">
        <v>714</v>
      </c>
      <c r="I51" s="6" t="s">
        <v>789</v>
      </c>
      <c r="J51" s="14"/>
      <c r="K51" s="22"/>
      <c r="L51">
        <f>M51</f>
        <v>3.8296000000000001</v>
      </c>
      <c r="M51" s="4">
        <v>3.8296000000000001</v>
      </c>
      <c r="N51">
        <f>O51</f>
        <v>3.4</v>
      </c>
      <c r="O51" s="4">
        <v>3.4</v>
      </c>
      <c r="P51" s="4">
        <v>17200</v>
      </c>
      <c r="Q51" s="67">
        <f t="shared" si="2"/>
        <v>222.65116279069767</v>
      </c>
      <c r="S51" s="105" t="s">
        <v>39</v>
      </c>
      <c r="T51" s="4"/>
      <c r="U51" s="4"/>
      <c r="V51" s="4" t="s">
        <v>39</v>
      </c>
      <c r="W51" s="4"/>
      <c r="X51" s="4" t="s">
        <v>38</v>
      </c>
      <c r="Y51" s="4"/>
      <c r="Z51" s="4"/>
      <c r="AA51" s="4"/>
      <c r="AB51" s="4" t="s">
        <v>1200</v>
      </c>
      <c r="AC51" s="29"/>
      <c r="AD51" s="4" t="s">
        <v>45</v>
      </c>
      <c r="AI51" s="33">
        <f>1.10231162684681*AK51</f>
        <v>481.71018093205601</v>
      </c>
      <c r="AJ51" s="119">
        <f t="shared" si="1"/>
        <v>125.78603011595362</v>
      </c>
      <c r="AK51" s="37">
        <v>437</v>
      </c>
      <c r="AP51">
        <v>5</v>
      </c>
      <c r="AQ51" s="148" t="s">
        <v>38</v>
      </c>
      <c r="AR51" s="73">
        <v>425.49</v>
      </c>
      <c r="AS51" s="70"/>
      <c r="AT51" s="29"/>
      <c r="AU51" s="32"/>
      <c r="AW51">
        <v>437</v>
      </c>
      <c r="AY51" s="32"/>
      <c r="BA51" s="29" t="s">
        <v>38</v>
      </c>
      <c r="BD51" s="118">
        <v>980800</v>
      </c>
      <c r="BE51" s="116" t="s">
        <v>38</v>
      </c>
      <c r="BG51" s="4" t="s">
        <v>1201</v>
      </c>
      <c r="BH51" s="75"/>
      <c r="BI51" s="75"/>
      <c r="BJ51" s="75"/>
      <c r="BK51" s="75"/>
      <c r="BL51" s="75"/>
      <c r="BM51" s="75"/>
      <c r="BN51" s="75"/>
      <c r="BO51" s="75"/>
      <c r="BP51" s="4" t="s">
        <v>1202</v>
      </c>
      <c r="BQ51" s="29">
        <v>0</v>
      </c>
      <c r="BR51" s="29"/>
      <c r="BS51" s="4" t="s">
        <v>72</v>
      </c>
      <c r="BT51" s="4"/>
      <c r="BU51" s="4"/>
      <c r="BV51" s="4"/>
      <c r="BW51" s="4"/>
      <c r="BX51" s="4"/>
      <c r="BY51" s="4"/>
      <c r="CC51" s="29"/>
      <c r="CD51" s="4" t="s">
        <v>170</v>
      </c>
      <c r="CX51" s="29"/>
      <c r="CY51" s="4" t="s">
        <v>104</v>
      </c>
      <c r="DA51" s="116" t="s">
        <v>106</v>
      </c>
      <c r="DD51" s="77"/>
      <c r="DE51" s="4"/>
      <c r="DH51" s="29"/>
      <c r="DS51" s="29"/>
      <c r="EA51" s="4" t="s">
        <v>130</v>
      </c>
      <c r="EE51" s="29"/>
      <c r="EI51">
        <v>100</v>
      </c>
      <c r="EL51" s="99"/>
      <c r="EM51" s="112"/>
      <c r="EN51" s="112"/>
      <c r="EO51" s="112"/>
      <c r="EP51" s="113">
        <f>AI51*0.22</f>
        <v>105.97623980505232</v>
      </c>
      <c r="EQ51" s="112"/>
      <c r="ER51" s="4" t="s">
        <v>1203</v>
      </c>
      <c r="ES51" s="135">
        <v>460000</v>
      </c>
      <c r="ET51" s="111"/>
      <c r="EU51" s="4" t="s">
        <v>1204</v>
      </c>
      <c r="EV51" s="29">
        <v>0</v>
      </c>
      <c r="EW51">
        <v>100</v>
      </c>
      <c r="EX51" s="29"/>
      <c r="FG51" s="4" t="s">
        <v>1205</v>
      </c>
      <c r="FH51" s="4" t="s">
        <v>1206</v>
      </c>
      <c r="FI51" s="116" t="s">
        <v>38</v>
      </c>
      <c r="FJ51" s="4"/>
      <c r="FK51" s="4" t="s">
        <v>1207</v>
      </c>
      <c r="FL51" s="116" t="s">
        <v>152</v>
      </c>
      <c r="FQ51" s="4" t="s">
        <v>1208</v>
      </c>
      <c r="FR51" s="116" t="s">
        <v>158</v>
      </c>
      <c r="FX51" s="29"/>
      <c r="GA51" s="4" t="s">
        <v>161</v>
      </c>
      <c r="GC51" s="4" t="s">
        <v>1209</v>
      </c>
      <c r="GD51" s="29"/>
      <c r="GE51" s="116"/>
      <c r="GF51" s="4"/>
      <c r="GG51" s="4"/>
      <c r="GH51" s="4"/>
      <c r="GI51" s="29"/>
    </row>
    <row r="52" spans="1:191" ht="30">
      <c r="A52" s="228" t="s">
        <v>655</v>
      </c>
      <c r="B52" s="29" t="s">
        <v>309</v>
      </c>
      <c r="D52" s="5"/>
      <c r="E52" s="5" t="s">
        <v>790</v>
      </c>
      <c r="F52" s="5"/>
      <c r="G52" s="5" t="s">
        <v>717</v>
      </c>
      <c r="H52" s="5" t="s">
        <v>714</v>
      </c>
      <c r="I52" s="6" t="s">
        <v>718</v>
      </c>
      <c r="J52" s="5"/>
      <c r="K52" s="20"/>
      <c r="L52">
        <v>0.41599999999999998</v>
      </c>
      <c r="M52">
        <v>0.41599999999999998</v>
      </c>
      <c r="N52" s="4">
        <v>0.54</v>
      </c>
      <c r="O52">
        <v>0.54</v>
      </c>
      <c r="P52">
        <v>5165</v>
      </c>
      <c r="Q52" s="67">
        <f t="shared" si="2"/>
        <v>80.542110358180054</v>
      </c>
      <c r="S52" t="s">
        <v>39</v>
      </c>
      <c r="V52" t="s">
        <v>39</v>
      </c>
      <c r="Y52" t="s">
        <v>39</v>
      </c>
      <c r="AC52" s="29" t="s">
        <v>44</v>
      </c>
      <c r="AI52" s="29">
        <v>104</v>
      </c>
      <c r="AJ52" s="119">
        <f t="shared" si="1"/>
        <v>250</v>
      </c>
      <c r="AK52" s="32">
        <f>AI52*0.907185</f>
        <v>94.347239999999999</v>
      </c>
      <c r="AP52">
        <v>2</v>
      </c>
      <c r="AQ52" s="148"/>
      <c r="AR52" s="73"/>
      <c r="AS52" s="70"/>
      <c r="AT52" s="29"/>
      <c r="AU52" s="68">
        <v>104</v>
      </c>
      <c r="AY52" s="68"/>
      <c r="AZ52" t="s">
        <v>310</v>
      </c>
      <c r="BA52" s="29" t="s">
        <v>38</v>
      </c>
      <c r="BD52" s="75">
        <v>405107</v>
      </c>
      <c r="BE52" s="29"/>
      <c r="BF52" t="s">
        <v>39</v>
      </c>
      <c r="BH52" s="75"/>
      <c r="BI52" s="75"/>
      <c r="BJ52" s="75"/>
      <c r="BK52" s="75"/>
      <c r="BL52" s="75"/>
      <c r="BM52" s="75"/>
      <c r="BN52" s="75"/>
      <c r="BO52" s="75"/>
      <c r="BP52" s="75"/>
      <c r="BQ52" s="29">
        <v>0</v>
      </c>
      <c r="BR52" s="29"/>
      <c r="CB52" t="s">
        <v>311</v>
      </c>
      <c r="CC52" s="29" t="s">
        <v>180</v>
      </c>
      <c r="CP52" t="s">
        <v>203</v>
      </c>
      <c r="CQ52" t="s">
        <v>181</v>
      </c>
      <c r="CX52" s="29"/>
      <c r="CZ52" t="s">
        <v>105</v>
      </c>
      <c r="DA52" s="29"/>
      <c r="DC52" t="s">
        <v>43</v>
      </c>
      <c r="DD52" s="29"/>
      <c r="DH52" s="29"/>
      <c r="DS52" s="29"/>
      <c r="EC52" t="s">
        <v>312</v>
      </c>
      <c r="EE52" s="29"/>
      <c r="EK52" t="s">
        <v>313</v>
      </c>
      <c r="EL52" s="99"/>
      <c r="EM52" s="112"/>
      <c r="EN52" s="112"/>
      <c r="EO52" s="112"/>
      <c r="EP52" s="112"/>
      <c r="EQ52" s="112"/>
      <c r="ER52" t="s">
        <v>314</v>
      </c>
      <c r="ES52" s="99">
        <v>168056</v>
      </c>
      <c r="ET52" s="111">
        <f t="shared" ref="ET52:ET58" si="3">ES52/AI52</f>
        <v>1615.9230769230769</v>
      </c>
      <c r="EV52" s="29">
        <v>15</v>
      </c>
      <c r="EW52">
        <v>20</v>
      </c>
      <c r="EX52" s="29"/>
      <c r="FC52" t="s">
        <v>315</v>
      </c>
      <c r="FH52" t="s">
        <v>1306</v>
      </c>
      <c r="FI52" s="29" t="s">
        <v>38</v>
      </c>
      <c r="FL52" s="29" t="s">
        <v>152</v>
      </c>
      <c r="FR52" s="29"/>
      <c r="FV52" t="s">
        <v>162</v>
      </c>
      <c r="FX52" s="29" t="s">
        <v>158</v>
      </c>
      <c r="GD52" s="29"/>
      <c r="GE52" s="29"/>
      <c r="GI52" s="29"/>
    </row>
    <row r="53" spans="1:191" ht="31.5">
      <c r="A53" s="228" t="s">
        <v>1217</v>
      </c>
      <c r="B53" s="29" t="s">
        <v>566</v>
      </c>
      <c r="D53" s="5"/>
      <c r="E53" s="5" t="s">
        <v>775</v>
      </c>
      <c r="F53" s="5"/>
      <c r="G53" s="5" t="s">
        <v>776</v>
      </c>
      <c r="H53" s="5" t="s">
        <v>714</v>
      </c>
      <c r="I53" s="6" t="s">
        <v>777</v>
      </c>
      <c r="J53" s="5"/>
      <c r="K53" s="20"/>
      <c r="L53">
        <v>0.17069999999999999</v>
      </c>
      <c r="M53">
        <v>0.17069999999999999</v>
      </c>
      <c r="N53" s="4">
        <v>0.23</v>
      </c>
      <c r="O53">
        <v>0.23</v>
      </c>
      <c r="P53">
        <v>850</v>
      </c>
      <c r="Q53" s="67">
        <f t="shared" si="2"/>
        <v>200.8235294117647</v>
      </c>
      <c r="S53" t="s">
        <v>39</v>
      </c>
      <c r="U53" t="s">
        <v>38</v>
      </c>
      <c r="W53" t="s">
        <v>567</v>
      </c>
      <c r="Y53" t="s">
        <v>39</v>
      </c>
      <c r="AC53" s="29"/>
      <c r="AH53" t="s">
        <v>49</v>
      </c>
      <c r="AI53" s="33">
        <f>8.35/2000*AP53/100*AO53</f>
        <v>16.186809</v>
      </c>
      <c r="AJ53" s="119">
        <f t="shared" si="1"/>
        <v>94.826063268892796</v>
      </c>
      <c r="AK53" s="32">
        <f>AI53*0.907185</f>
        <v>14.684430322665001</v>
      </c>
      <c r="AN53" s="4"/>
      <c r="AO53">
        <v>193854</v>
      </c>
      <c r="AP53">
        <v>2</v>
      </c>
      <c r="AQ53" s="148" t="s">
        <v>38</v>
      </c>
      <c r="AR53" s="73"/>
      <c r="AS53" s="70">
        <v>2.37</v>
      </c>
      <c r="AT53" s="29"/>
      <c r="AU53" s="32">
        <f>AI53</f>
        <v>16.186809</v>
      </c>
      <c r="BA53" s="29"/>
      <c r="BB53" t="s">
        <v>39</v>
      </c>
      <c r="BD53" s="75">
        <v>0</v>
      </c>
      <c r="BE53" s="29" t="s">
        <v>38</v>
      </c>
      <c r="BG53" t="s">
        <v>568</v>
      </c>
      <c r="BH53" s="75"/>
      <c r="BI53" s="75">
        <v>216000</v>
      </c>
      <c r="BJ53" s="75"/>
      <c r="BK53" s="75"/>
      <c r="BL53" s="75"/>
      <c r="BM53" s="75"/>
      <c r="BN53" s="75"/>
      <c r="BO53" s="75"/>
      <c r="BP53" s="75"/>
      <c r="BQ53" s="29">
        <v>0</v>
      </c>
      <c r="BR53" s="29"/>
      <c r="BS53" t="s">
        <v>72</v>
      </c>
      <c r="CC53" s="29" t="s">
        <v>180</v>
      </c>
      <c r="CJ53" t="s">
        <v>196</v>
      </c>
      <c r="CQ53" t="s">
        <v>181</v>
      </c>
      <c r="CX53" s="29"/>
      <c r="CZ53" t="s">
        <v>105</v>
      </c>
      <c r="DA53" s="29" t="s">
        <v>106</v>
      </c>
      <c r="DD53" s="29"/>
      <c r="DG53">
        <v>100</v>
      </c>
      <c r="DH53" s="29"/>
      <c r="DR53" t="s">
        <v>122</v>
      </c>
      <c r="DS53" s="29"/>
      <c r="EB53" t="s">
        <v>132</v>
      </c>
      <c r="EE53" s="29"/>
      <c r="EH53">
        <v>100</v>
      </c>
      <c r="EL53" s="99"/>
      <c r="EM53" s="112"/>
      <c r="EN53" s="112"/>
      <c r="EO53" s="112">
        <v>25</v>
      </c>
      <c r="EP53" s="112"/>
      <c r="EQ53" s="112"/>
      <c r="ES53" s="99">
        <v>20000</v>
      </c>
      <c r="ET53" s="111">
        <f t="shared" si="3"/>
        <v>1235.5739787872953</v>
      </c>
      <c r="EV53" s="29">
        <v>5</v>
      </c>
      <c r="EW53">
        <v>25</v>
      </c>
      <c r="EX53" s="29" t="s">
        <v>569</v>
      </c>
      <c r="FI53" s="29" t="s">
        <v>38</v>
      </c>
      <c r="FL53" s="29"/>
      <c r="FN53" t="s">
        <v>154</v>
      </c>
      <c r="FQ53" t="s">
        <v>570</v>
      </c>
      <c r="FR53" s="29"/>
      <c r="FU53" t="s">
        <v>161</v>
      </c>
      <c r="FW53" s="40" t="s">
        <v>571</v>
      </c>
      <c r="FX53" s="29" t="s">
        <v>158</v>
      </c>
      <c r="GD53" s="29"/>
      <c r="GE53" s="29"/>
      <c r="GI53" s="29"/>
    </row>
    <row r="54" spans="1:191" ht="15.75">
      <c r="A54" s="228" t="s">
        <v>353</v>
      </c>
      <c r="B54" s="29" t="s">
        <v>353</v>
      </c>
      <c r="D54" s="5"/>
      <c r="E54" s="5" t="s">
        <v>791</v>
      </c>
      <c r="F54" s="5"/>
      <c r="G54" s="5" t="s">
        <v>792</v>
      </c>
      <c r="H54" s="5" t="s">
        <v>714</v>
      </c>
      <c r="I54" s="6" t="s">
        <v>793</v>
      </c>
      <c r="J54" s="5"/>
      <c r="K54" s="20"/>
      <c r="L54">
        <v>0.218</v>
      </c>
      <c r="M54">
        <v>0.218</v>
      </c>
      <c r="N54" s="4">
        <v>0.5</v>
      </c>
      <c r="O54">
        <v>0.5</v>
      </c>
      <c r="P54">
        <v>750</v>
      </c>
      <c r="Q54" s="67">
        <f t="shared" si="2"/>
        <v>290.66666666666669</v>
      </c>
      <c r="S54" s="29" t="s">
        <v>39</v>
      </c>
      <c r="V54" t="s">
        <v>39</v>
      </c>
      <c r="Y54" t="s">
        <v>39</v>
      </c>
      <c r="AC54" s="29"/>
      <c r="AD54" t="s">
        <v>45</v>
      </c>
      <c r="AI54" s="33">
        <f>1.10231162684681*AK54</f>
        <v>19.84160928324258</v>
      </c>
      <c r="AJ54" s="119">
        <f t="shared" si="1"/>
        <v>91.016556345149453</v>
      </c>
      <c r="AK54">
        <v>18</v>
      </c>
      <c r="AP54">
        <v>3</v>
      </c>
      <c r="AQ54" s="148"/>
      <c r="AR54" s="73"/>
      <c r="AS54" s="70"/>
      <c r="AT54" s="29"/>
      <c r="AY54" s="32">
        <f>1.10231162684681*18</f>
        <v>19.84160928324258</v>
      </c>
      <c r="BA54" s="29"/>
      <c r="BB54" t="s">
        <v>39</v>
      </c>
      <c r="BD54" s="75">
        <v>0</v>
      </c>
      <c r="BE54" s="29"/>
      <c r="BF54" t="s">
        <v>39</v>
      </c>
      <c r="BH54" s="75"/>
      <c r="BI54" s="75"/>
      <c r="BJ54" s="75"/>
      <c r="BK54" s="75"/>
      <c r="BL54" s="75"/>
      <c r="BM54" s="75"/>
      <c r="BN54" s="75"/>
      <c r="BO54" s="75"/>
      <c r="BP54" s="75"/>
      <c r="BQ54" s="29"/>
      <c r="BR54" s="29"/>
      <c r="BT54" t="s">
        <v>73</v>
      </c>
      <c r="CC54" s="29"/>
      <c r="CX54" s="29"/>
      <c r="CY54" t="s">
        <v>104</v>
      </c>
      <c r="DA54" s="29"/>
      <c r="DC54" t="s">
        <v>43</v>
      </c>
      <c r="DD54" s="29"/>
      <c r="DH54" s="29"/>
      <c r="DS54" s="29"/>
      <c r="EB54" t="s">
        <v>132</v>
      </c>
      <c r="EE54" s="29"/>
      <c r="EJ54">
        <v>100</v>
      </c>
      <c r="EL54" s="99"/>
      <c r="EM54" s="112"/>
      <c r="EN54" s="112"/>
      <c r="EO54" s="112"/>
      <c r="EP54" s="112"/>
      <c r="EQ54" s="112"/>
      <c r="ES54" s="111">
        <v>28000</v>
      </c>
      <c r="ET54" s="111">
        <f t="shared" si="3"/>
        <v>1411.1758577792209</v>
      </c>
      <c r="EV54" s="29">
        <v>0</v>
      </c>
      <c r="EW54">
        <v>50</v>
      </c>
      <c r="EX54" s="29" t="s">
        <v>354</v>
      </c>
      <c r="FI54" s="103" t="s">
        <v>38</v>
      </c>
      <c r="FL54" s="29"/>
      <c r="FN54" t="s">
        <v>154</v>
      </c>
      <c r="FR54" s="103"/>
      <c r="FT54" t="s">
        <v>160</v>
      </c>
      <c r="FX54" s="29"/>
      <c r="FY54" t="s">
        <v>159</v>
      </c>
      <c r="GD54" s="117"/>
      <c r="GE54" s="103"/>
      <c r="GI54" s="29"/>
    </row>
    <row r="55" spans="1:191" ht="31.5">
      <c r="A55" s="228" t="s">
        <v>656</v>
      </c>
      <c r="B55" s="29" t="s">
        <v>275</v>
      </c>
      <c r="D55" s="14"/>
      <c r="E55" s="14" t="s">
        <v>794</v>
      </c>
      <c r="F55" s="5"/>
      <c r="G55" s="14" t="s">
        <v>795</v>
      </c>
      <c r="H55" s="14" t="s">
        <v>714</v>
      </c>
      <c r="I55" s="15" t="s">
        <v>796</v>
      </c>
      <c r="J55" s="14"/>
      <c r="K55" s="18"/>
      <c r="L55">
        <v>10</v>
      </c>
      <c r="M55">
        <v>10</v>
      </c>
      <c r="N55" s="4">
        <v>18.100000000000001</v>
      </c>
      <c r="O55">
        <v>18.100000000000001</v>
      </c>
      <c r="P55">
        <v>36000</v>
      </c>
      <c r="Q55" s="67">
        <f t="shared" si="2"/>
        <v>277.77777777777777</v>
      </c>
      <c r="R55" t="s">
        <v>38</v>
      </c>
      <c r="T55" t="s">
        <v>276</v>
      </c>
      <c r="V55" t="s">
        <v>39</v>
      </c>
      <c r="X55" t="s">
        <v>38</v>
      </c>
      <c r="AC55" s="29"/>
      <c r="AD55" t="s">
        <v>45</v>
      </c>
      <c r="AI55" s="33">
        <f>1.10231162684681*AK55</f>
        <v>3978.2426612901377</v>
      </c>
      <c r="AJ55" s="119">
        <f t="shared" si="1"/>
        <v>397.82426612901378</v>
      </c>
      <c r="AK55">
        <v>3609</v>
      </c>
      <c r="AP55">
        <v>27</v>
      </c>
      <c r="AQ55" s="148" t="s">
        <v>38</v>
      </c>
      <c r="AR55" s="73">
        <v>4132</v>
      </c>
      <c r="AS55" s="70">
        <v>4138</v>
      </c>
      <c r="AT55" s="29"/>
      <c r="AV55" s="32">
        <f>1.10231162684681*3609</f>
        <v>3978.2426612901377</v>
      </c>
      <c r="BA55" s="29" t="s">
        <v>38</v>
      </c>
      <c r="BD55" s="75">
        <v>9052850</v>
      </c>
      <c r="BE55" s="29"/>
      <c r="BF55" t="s">
        <v>39</v>
      </c>
      <c r="BH55" s="75"/>
      <c r="BI55" s="75"/>
      <c r="BJ55" s="75"/>
      <c r="BK55" s="75"/>
      <c r="BL55" s="75"/>
      <c r="BM55" s="75"/>
      <c r="BN55" s="75"/>
      <c r="BO55" s="75"/>
      <c r="BP55" s="75"/>
      <c r="BQ55" s="29">
        <v>50</v>
      </c>
      <c r="BR55" s="29" t="s">
        <v>71</v>
      </c>
      <c r="BS55" t="s">
        <v>72</v>
      </c>
      <c r="CC55" s="29"/>
      <c r="CD55" t="s">
        <v>170</v>
      </c>
      <c r="CP55" t="s">
        <v>203</v>
      </c>
      <c r="CT55" t="s">
        <v>172</v>
      </c>
      <c r="CX55" s="29"/>
      <c r="CY55" t="s">
        <v>104</v>
      </c>
      <c r="DA55" s="29" t="s">
        <v>106</v>
      </c>
      <c r="DD55" s="29"/>
      <c r="DG55">
        <v>100</v>
      </c>
      <c r="DH55" s="29"/>
      <c r="DS55" s="29"/>
      <c r="DV55" t="s">
        <v>126</v>
      </c>
      <c r="DZ55" t="s">
        <v>130</v>
      </c>
      <c r="EA55" t="s">
        <v>131</v>
      </c>
      <c r="EE55" s="29"/>
      <c r="EI55">
        <v>100</v>
      </c>
      <c r="EL55" s="99"/>
      <c r="EM55" s="112"/>
      <c r="EN55" s="112"/>
      <c r="EO55" s="112"/>
      <c r="EP55" s="112">
        <v>86.85</v>
      </c>
      <c r="EQ55" s="112"/>
      <c r="ES55" s="99">
        <v>1217459</v>
      </c>
      <c r="ET55" s="111">
        <f t="shared" si="3"/>
        <v>306.02934603420596</v>
      </c>
      <c r="EU55" t="s">
        <v>277</v>
      </c>
      <c r="EV55" s="29">
        <v>5</v>
      </c>
      <c r="EW55">
        <v>50</v>
      </c>
      <c r="EX55" s="29"/>
      <c r="FH55" t="s">
        <v>278</v>
      </c>
      <c r="FI55" s="29" t="s">
        <v>38</v>
      </c>
      <c r="FL55" s="29"/>
      <c r="FN55" t="s">
        <v>154</v>
      </c>
      <c r="FR55" s="29"/>
      <c r="FU55" t="s">
        <v>161</v>
      </c>
      <c r="FX55" s="29"/>
      <c r="FZ55" t="s">
        <v>160</v>
      </c>
      <c r="GD55" s="29"/>
      <c r="GE55" s="29"/>
      <c r="GI55" s="29"/>
    </row>
    <row r="56" spans="1:191" ht="15.75">
      <c r="A56" s="228" t="s">
        <v>657</v>
      </c>
      <c r="B56" s="29" t="s">
        <v>396</v>
      </c>
      <c r="D56" s="5"/>
      <c r="E56" s="5" t="s">
        <v>797</v>
      </c>
      <c r="F56" s="5"/>
      <c r="G56" s="5" t="s">
        <v>798</v>
      </c>
      <c r="H56" s="5" t="s">
        <v>714</v>
      </c>
      <c r="I56" s="6" t="s">
        <v>799</v>
      </c>
      <c r="J56" s="5"/>
      <c r="K56" s="23"/>
      <c r="L56">
        <v>8.1999999999999993</v>
      </c>
      <c r="M56">
        <v>8.1999999999999993</v>
      </c>
      <c r="N56" s="4">
        <v>15</v>
      </c>
      <c r="O56">
        <v>15</v>
      </c>
      <c r="P56">
        <v>40000</v>
      </c>
      <c r="Q56" s="67">
        <f t="shared" si="2"/>
        <v>204.99999999999997</v>
      </c>
      <c r="S56" t="s">
        <v>39</v>
      </c>
      <c r="V56" t="s">
        <v>39</v>
      </c>
      <c r="X56" t="s">
        <v>38</v>
      </c>
      <c r="AC56" s="29"/>
      <c r="AE56" t="s">
        <v>46</v>
      </c>
      <c r="AI56" s="33">
        <f>AL56*AP56/100</f>
        <v>1673.7</v>
      </c>
      <c r="AJ56" s="119">
        <f t="shared" si="1"/>
        <v>204.10975609756099</v>
      </c>
      <c r="AK56" s="32">
        <f>AI56*0.907185</f>
        <v>1518.3555345</v>
      </c>
      <c r="AL56">
        <v>7970</v>
      </c>
      <c r="AP56">
        <v>21</v>
      </c>
      <c r="AQ56" s="148" t="s">
        <v>38</v>
      </c>
      <c r="AR56" s="73">
        <v>1675</v>
      </c>
      <c r="AS56" s="70">
        <v>1916.1</v>
      </c>
      <c r="AT56" s="29"/>
      <c r="AU56" s="32">
        <f>0.631619*AI56</f>
        <v>1057.1407203000001</v>
      </c>
      <c r="AV56" s="32">
        <f>AI56-AU56</f>
        <v>616.55927969999993</v>
      </c>
      <c r="AY56" s="32"/>
      <c r="BA56" s="29" t="s">
        <v>38</v>
      </c>
      <c r="BD56" s="75">
        <v>488000</v>
      </c>
      <c r="BE56" s="29"/>
      <c r="BF56" t="s">
        <v>39</v>
      </c>
      <c r="BH56" s="75"/>
      <c r="BI56" s="75"/>
      <c r="BJ56" s="75"/>
      <c r="BK56" s="75"/>
      <c r="BL56" s="75"/>
      <c r="BM56" s="75"/>
      <c r="BN56" s="75"/>
      <c r="BO56" s="75"/>
      <c r="BP56" s="75"/>
      <c r="BQ56" s="29">
        <v>40</v>
      </c>
      <c r="BR56" s="29" t="s">
        <v>71</v>
      </c>
      <c r="BS56" t="s">
        <v>72</v>
      </c>
      <c r="CC56" s="29"/>
      <c r="CD56" t="s">
        <v>170</v>
      </c>
      <c r="CP56" t="s">
        <v>203</v>
      </c>
      <c r="CW56" t="s">
        <v>203</v>
      </c>
      <c r="CX56" s="29"/>
      <c r="CY56" t="s">
        <v>104</v>
      </c>
      <c r="DA56" s="29" t="s">
        <v>106</v>
      </c>
      <c r="DD56" s="29"/>
      <c r="DF56">
        <v>100</v>
      </c>
      <c r="DH56" s="29"/>
      <c r="DR56" t="s">
        <v>122</v>
      </c>
      <c r="DS56" s="29"/>
      <c r="DZ56" t="s">
        <v>130</v>
      </c>
      <c r="EC56" t="s">
        <v>397</v>
      </c>
      <c r="EE56" s="29"/>
      <c r="EH56">
        <v>63</v>
      </c>
      <c r="EI56">
        <v>37</v>
      </c>
      <c r="EL56" s="99"/>
      <c r="EM56" s="112"/>
      <c r="EN56" s="112"/>
      <c r="EO56" s="112">
        <v>103</v>
      </c>
      <c r="EP56" s="112">
        <v>103</v>
      </c>
      <c r="EQ56" s="112"/>
      <c r="ES56" s="99">
        <v>817801</v>
      </c>
      <c r="ET56" s="111">
        <f t="shared" si="3"/>
        <v>488.61862938399952</v>
      </c>
      <c r="EV56" s="29">
        <v>0</v>
      </c>
      <c r="EW56">
        <v>30</v>
      </c>
      <c r="EX56" s="29"/>
      <c r="FB56" t="s">
        <v>398</v>
      </c>
      <c r="FC56" t="s">
        <v>398</v>
      </c>
      <c r="FD56" t="s">
        <v>398</v>
      </c>
      <c r="FH56" t="s">
        <v>400</v>
      </c>
      <c r="FI56" s="29" t="s">
        <v>38</v>
      </c>
      <c r="FL56" s="29"/>
      <c r="FM56" t="s">
        <v>153</v>
      </c>
      <c r="FR56" s="29"/>
      <c r="FT56" t="s">
        <v>160</v>
      </c>
      <c r="FW56" s="40" t="s">
        <v>401</v>
      </c>
      <c r="FX56" s="29"/>
      <c r="FY56" t="s">
        <v>159</v>
      </c>
      <c r="GC56" t="s">
        <v>402</v>
      </c>
      <c r="GD56" s="29"/>
      <c r="GE56" s="29"/>
      <c r="GI56" s="29"/>
    </row>
    <row r="57" spans="1:191" ht="15.75">
      <c r="A57" s="228" t="s">
        <v>658</v>
      </c>
      <c r="B57" s="29" t="s">
        <v>469</v>
      </c>
      <c r="D57" s="5"/>
      <c r="E57" s="5" t="s">
        <v>800</v>
      </c>
      <c r="F57" s="5"/>
      <c r="G57" s="5" t="s">
        <v>801</v>
      </c>
      <c r="H57" s="5" t="s">
        <v>714</v>
      </c>
      <c r="I57" s="6" t="s">
        <v>802</v>
      </c>
      <c r="J57" s="5"/>
      <c r="K57" s="20"/>
      <c r="L57">
        <v>4.2910000000000004</v>
      </c>
      <c r="M57">
        <v>4.2910000000000004</v>
      </c>
      <c r="N57" s="4">
        <v>6.5</v>
      </c>
      <c r="O57">
        <v>6.5</v>
      </c>
      <c r="P57">
        <v>22393</v>
      </c>
      <c r="Q57" s="67">
        <f t="shared" si="2"/>
        <v>191.62238199437323</v>
      </c>
      <c r="S57" t="s">
        <v>39</v>
      </c>
      <c r="U57" t="s">
        <v>38</v>
      </c>
      <c r="W57" t="s">
        <v>470</v>
      </c>
      <c r="X57" t="s">
        <v>38</v>
      </c>
      <c r="AC57" s="29"/>
      <c r="AD57" t="s">
        <v>45</v>
      </c>
      <c r="AI57" s="33">
        <f>1.10231162684681*AK57</f>
        <v>381.39982288899625</v>
      </c>
      <c r="AJ57" s="119">
        <f t="shared" si="1"/>
        <v>88.883668815892847</v>
      </c>
      <c r="AK57">
        <v>346</v>
      </c>
      <c r="AP57">
        <v>52</v>
      </c>
      <c r="AQ57" s="148" t="s">
        <v>38</v>
      </c>
      <c r="AR57" s="73">
        <v>1476</v>
      </c>
      <c r="AS57" s="70">
        <v>1317</v>
      </c>
      <c r="AT57" s="33">
        <f>1.10231162684681*346</f>
        <v>381.39982288899625</v>
      </c>
      <c r="BA57" s="29" t="s">
        <v>38</v>
      </c>
      <c r="BD57" s="75">
        <v>1440200</v>
      </c>
      <c r="BE57" s="29"/>
      <c r="BF57" t="s">
        <v>39</v>
      </c>
      <c r="BH57" s="75"/>
      <c r="BI57" s="75"/>
      <c r="BJ57" s="75"/>
      <c r="BK57" s="75"/>
      <c r="BL57" s="75"/>
      <c r="BM57" s="75"/>
      <c r="BN57" s="75"/>
      <c r="BO57" s="75"/>
      <c r="BP57" s="75"/>
      <c r="BQ57" s="29">
        <v>75</v>
      </c>
      <c r="BR57" s="29" t="s">
        <v>71</v>
      </c>
      <c r="BS57" t="s">
        <v>72</v>
      </c>
      <c r="BT57" t="s">
        <v>73</v>
      </c>
      <c r="BX57" t="s">
        <v>77</v>
      </c>
      <c r="CC57" s="29"/>
      <c r="CG57" t="s">
        <v>187</v>
      </c>
      <c r="CN57" t="s">
        <v>187</v>
      </c>
      <c r="CU57" t="s">
        <v>187</v>
      </c>
      <c r="CX57" s="29" t="s">
        <v>103</v>
      </c>
      <c r="CY57" t="s">
        <v>104</v>
      </c>
      <c r="DA57" s="29" t="s">
        <v>106</v>
      </c>
      <c r="DD57" s="29"/>
      <c r="DE57">
        <v>100</v>
      </c>
      <c r="DH57" s="29"/>
      <c r="DL57" t="s">
        <v>116</v>
      </c>
      <c r="DS57" s="29" t="s">
        <v>123</v>
      </c>
      <c r="EE57" s="29">
        <v>100</v>
      </c>
      <c r="EL57" s="99"/>
      <c r="EM57" s="112"/>
      <c r="EN57" s="112"/>
      <c r="EO57" s="112"/>
      <c r="EP57" s="112"/>
      <c r="EQ57" s="112"/>
      <c r="ES57" s="99">
        <v>240000</v>
      </c>
      <c r="ET57" s="111">
        <f t="shared" si="3"/>
        <v>629.26091098330244</v>
      </c>
      <c r="EV57" s="29">
        <v>47</v>
      </c>
      <c r="EW57">
        <v>20</v>
      </c>
      <c r="EX57" s="29" t="s">
        <v>471</v>
      </c>
      <c r="EY57" t="s">
        <v>472</v>
      </c>
      <c r="FD57" t="s">
        <v>473</v>
      </c>
      <c r="FE57" t="s">
        <v>307</v>
      </c>
      <c r="FF57" t="s">
        <v>474</v>
      </c>
      <c r="FH57" t="s">
        <v>1308</v>
      </c>
      <c r="FI57" s="29"/>
      <c r="FJ57" t="s">
        <v>39</v>
      </c>
      <c r="FK57" t="s">
        <v>475</v>
      </c>
      <c r="FL57" s="29"/>
      <c r="FO57" t="s">
        <v>155</v>
      </c>
      <c r="FR57" s="29"/>
      <c r="FU57" t="s">
        <v>161</v>
      </c>
      <c r="FX57" s="29"/>
      <c r="GA57" t="s">
        <v>161</v>
      </c>
      <c r="GD57" s="29"/>
      <c r="GE57" s="29"/>
      <c r="GI57" s="29"/>
    </row>
    <row r="58" spans="1:191" ht="30">
      <c r="A58" s="228" t="s">
        <v>659</v>
      </c>
      <c r="B58" s="29" t="s">
        <v>359</v>
      </c>
      <c r="D58" s="5"/>
      <c r="E58" s="5" t="s">
        <v>803</v>
      </c>
      <c r="F58" s="5"/>
      <c r="G58" s="5" t="s">
        <v>804</v>
      </c>
      <c r="H58" s="5" t="s">
        <v>714</v>
      </c>
      <c r="I58" s="6" t="s">
        <v>805</v>
      </c>
      <c r="J58" s="14"/>
      <c r="K58" s="20"/>
      <c r="L58">
        <v>0.45600000000000002</v>
      </c>
      <c r="M58">
        <v>0.45600000000000002</v>
      </c>
      <c r="N58" s="4">
        <v>0.58799999999999997</v>
      </c>
      <c r="O58">
        <v>0.58799999999999997</v>
      </c>
      <c r="P58">
        <v>4600</v>
      </c>
      <c r="Q58" s="67">
        <f t="shared" si="2"/>
        <v>99.130434782608702</v>
      </c>
      <c r="S58" t="s">
        <v>39</v>
      </c>
      <c r="T58" t="s">
        <v>360</v>
      </c>
      <c r="U58" t="s">
        <v>38</v>
      </c>
      <c r="W58" t="s">
        <v>361</v>
      </c>
      <c r="Y58" t="s">
        <v>39</v>
      </c>
      <c r="AC58" s="29" t="s">
        <v>44</v>
      </c>
      <c r="AI58" s="29">
        <v>160</v>
      </c>
      <c r="AJ58" s="119">
        <f t="shared" si="1"/>
        <v>350.87719298245611</v>
      </c>
      <c r="AK58" s="32">
        <f>AI58*0.907185</f>
        <v>145.14959999999999</v>
      </c>
      <c r="AP58">
        <v>2</v>
      </c>
      <c r="AQ58" s="148" t="s">
        <v>38</v>
      </c>
      <c r="AR58" s="73"/>
      <c r="AS58" s="70"/>
      <c r="AT58" s="29"/>
      <c r="AU58">
        <v>160</v>
      </c>
      <c r="BA58" s="29" t="s">
        <v>38</v>
      </c>
      <c r="BD58" s="75">
        <v>300000</v>
      </c>
      <c r="BE58" s="29"/>
      <c r="BF58" t="s">
        <v>39</v>
      </c>
      <c r="BH58" s="75"/>
      <c r="BI58" s="75"/>
      <c r="BJ58" s="75"/>
      <c r="BK58" s="75"/>
      <c r="BL58" s="75"/>
      <c r="BM58" s="75"/>
      <c r="BN58" s="75"/>
      <c r="BO58" s="75"/>
      <c r="BP58" s="75"/>
      <c r="BQ58" s="29">
        <v>50</v>
      </c>
      <c r="BR58" s="29" t="s">
        <v>71</v>
      </c>
      <c r="CC58" s="29" t="s">
        <v>180</v>
      </c>
      <c r="CJ58" t="s">
        <v>196</v>
      </c>
      <c r="CQ58" t="s">
        <v>181</v>
      </c>
      <c r="CX58" s="29"/>
      <c r="CY58" t="s">
        <v>104</v>
      </c>
      <c r="DA58" s="29" t="s">
        <v>106</v>
      </c>
      <c r="DD58" s="29"/>
      <c r="DH58" s="29"/>
      <c r="DS58" s="29"/>
      <c r="EB58" t="s">
        <v>132</v>
      </c>
      <c r="EE58" s="29"/>
      <c r="EH58">
        <v>100</v>
      </c>
      <c r="EL58" s="99"/>
      <c r="EM58" s="112"/>
      <c r="EN58" s="112"/>
      <c r="EO58" s="113"/>
      <c r="EP58" s="112"/>
      <c r="EQ58" s="112"/>
      <c r="ES58" s="99">
        <v>115000</v>
      </c>
      <c r="ET58" s="111">
        <f t="shared" si="3"/>
        <v>718.75</v>
      </c>
      <c r="EV58" s="29">
        <v>40</v>
      </c>
      <c r="EW58">
        <v>65</v>
      </c>
      <c r="EX58" s="29"/>
      <c r="FI58" s="29"/>
      <c r="FJ58" t="s">
        <v>39</v>
      </c>
      <c r="FL58" s="29"/>
      <c r="FR58" s="29"/>
      <c r="FV58" t="s">
        <v>162</v>
      </c>
      <c r="FX58" s="29"/>
      <c r="GA58" t="s">
        <v>161</v>
      </c>
      <c r="GD58" s="29"/>
      <c r="GE58" s="29"/>
      <c r="GI58" s="29"/>
    </row>
    <row r="59" spans="1:191" ht="15.75">
      <c r="A59" s="228" t="s">
        <v>1029</v>
      </c>
      <c r="B59" s="29"/>
      <c r="D59" s="5"/>
      <c r="E59" s="5"/>
      <c r="F59" s="5"/>
      <c r="G59" s="5"/>
      <c r="H59" s="5"/>
      <c r="I59" s="6"/>
      <c r="J59" s="14"/>
      <c r="K59" s="20"/>
      <c r="L59" s="50">
        <v>1.99</v>
      </c>
      <c r="M59" s="50"/>
      <c r="N59" s="61">
        <v>2.65</v>
      </c>
      <c r="O59" s="50"/>
      <c r="Q59" s="67"/>
      <c r="AC59" s="29"/>
      <c r="AI59" s="56">
        <v>835.3</v>
      </c>
      <c r="AJ59" s="119">
        <f t="shared" si="1"/>
        <v>419.74874371859295</v>
      </c>
      <c r="AK59" s="32">
        <f>AI59*0.907185</f>
        <v>757.77163050000001</v>
      </c>
      <c r="AQ59" s="148" t="s">
        <v>38</v>
      </c>
      <c r="AR59" s="73"/>
      <c r="AS59" s="70">
        <v>574.70000000000005</v>
      </c>
      <c r="AT59" s="29"/>
      <c r="AV59" s="34">
        <f>AI59</f>
        <v>835.3</v>
      </c>
      <c r="AZ59" s="34" t="s">
        <v>1116</v>
      </c>
      <c r="BA59" s="29"/>
      <c r="BD59" s="75"/>
      <c r="BE59" s="29"/>
      <c r="BH59" s="75"/>
      <c r="BI59" s="75"/>
      <c r="BJ59" s="75"/>
      <c r="BK59" s="75"/>
      <c r="BL59" s="75"/>
      <c r="BM59" s="75"/>
      <c r="BN59" s="75"/>
      <c r="BO59" s="75"/>
      <c r="BP59" s="75"/>
      <c r="BQ59" s="29"/>
      <c r="BR59" s="29"/>
      <c r="CC59" s="29"/>
      <c r="CX59" s="29"/>
      <c r="DA59" s="29"/>
      <c r="DD59" s="29"/>
      <c r="DH59" s="29"/>
      <c r="DS59" s="29"/>
      <c r="EE59" s="29"/>
      <c r="EL59" s="99"/>
      <c r="EM59" s="112"/>
      <c r="EN59" s="112"/>
      <c r="EO59" s="112"/>
      <c r="EP59" s="112"/>
      <c r="EQ59" s="112"/>
      <c r="ES59" s="99"/>
      <c r="ET59" s="111"/>
      <c r="EV59" s="29"/>
      <c r="EX59" s="29"/>
      <c r="FI59" s="29"/>
      <c r="FL59" s="29"/>
      <c r="FR59" s="29"/>
      <c r="FX59" s="29"/>
      <c r="GD59" s="29"/>
      <c r="GE59" s="29"/>
      <c r="GI59" s="29"/>
    </row>
    <row r="60" spans="1:191" ht="30">
      <c r="A60" s="228" t="s">
        <v>660</v>
      </c>
      <c r="B60" s="29" t="s">
        <v>410</v>
      </c>
      <c r="D60" s="5"/>
      <c r="E60" s="5" t="s">
        <v>806</v>
      </c>
      <c r="F60" s="5"/>
      <c r="G60" s="5" t="s">
        <v>807</v>
      </c>
      <c r="H60" s="5" t="s">
        <v>714</v>
      </c>
      <c r="I60" s="6" t="s">
        <v>808</v>
      </c>
      <c r="J60" s="5"/>
      <c r="K60" s="20"/>
      <c r="L60">
        <v>1.72</v>
      </c>
      <c r="M60">
        <v>1.72</v>
      </c>
      <c r="N60" s="4">
        <v>3.07</v>
      </c>
      <c r="O60">
        <v>3.07</v>
      </c>
      <c r="P60">
        <v>10300</v>
      </c>
      <c r="Q60" s="67">
        <f>L60*1000000/P60</f>
        <v>166.99029126213591</v>
      </c>
      <c r="S60" t="s">
        <v>39</v>
      </c>
      <c r="V60" t="s">
        <v>39</v>
      </c>
      <c r="Y60" t="s">
        <v>39</v>
      </c>
      <c r="AA60" t="s">
        <v>43</v>
      </c>
      <c r="AC60" s="29"/>
      <c r="AD60" t="s">
        <v>45</v>
      </c>
      <c r="AI60" s="33">
        <f>1.10231162684681*AK60</f>
        <v>274.47559508485568</v>
      </c>
      <c r="AJ60" s="119">
        <f t="shared" si="1"/>
        <v>159.57883435166028</v>
      </c>
      <c r="AK60">
        <v>249</v>
      </c>
      <c r="AP60">
        <v>6</v>
      </c>
      <c r="AQ60" s="148" t="s">
        <v>38</v>
      </c>
      <c r="AR60" s="73">
        <v>254.83</v>
      </c>
      <c r="AS60" s="70">
        <v>253.55</v>
      </c>
      <c r="AT60" s="29"/>
      <c r="AU60" s="32">
        <f>1.10231162684681*249</f>
        <v>274.47559508485568</v>
      </c>
      <c r="AZ60" t="s">
        <v>411</v>
      </c>
      <c r="BA60" s="29"/>
      <c r="BB60" t="s">
        <v>39</v>
      </c>
      <c r="BD60" s="75"/>
      <c r="BE60" s="29"/>
      <c r="BF60" t="s">
        <v>39</v>
      </c>
      <c r="BH60" s="75"/>
      <c r="BI60" s="75"/>
      <c r="BJ60" s="75"/>
      <c r="BK60" s="75"/>
      <c r="BL60" s="75"/>
      <c r="BM60" s="75"/>
      <c r="BN60" s="75"/>
      <c r="BO60" s="75"/>
      <c r="BP60" s="75"/>
      <c r="BQ60" s="29">
        <v>40</v>
      </c>
      <c r="BR60" s="29" t="s">
        <v>71</v>
      </c>
      <c r="BS60" t="s">
        <v>72</v>
      </c>
      <c r="CB60" t="s">
        <v>412</v>
      </c>
      <c r="CC60" s="29"/>
      <c r="CD60" t="s">
        <v>170</v>
      </c>
      <c r="CK60" t="s">
        <v>170</v>
      </c>
      <c r="CX60" s="29"/>
      <c r="CZ60" t="s">
        <v>105</v>
      </c>
      <c r="DA60" s="29"/>
      <c r="DC60" t="s">
        <v>43</v>
      </c>
      <c r="DD60" s="29"/>
      <c r="DH60" s="29"/>
      <c r="DS60" s="29"/>
      <c r="EC60" t="s">
        <v>413</v>
      </c>
      <c r="EE60" s="29"/>
      <c r="EH60" t="s">
        <v>414</v>
      </c>
      <c r="EL60" s="99"/>
      <c r="EM60" s="112"/>
      <c r="EN60" s="112"/>
      <c r="EO60" s="112"/>
      <c r="EP60" s="112"/>
      <c r="EQ60" s="112"/>
      <c r="ES60" s="99"/>
      <c r="ET60" s="111"/>
      <c r="EU60" t="s">
        <v>415</v>
      </c>
      <c r="EV60" s="29">
        <v>0</v>
      </c>
      <c r="EW60">
        <v>20</v>
      </c>
      <c r="EX60" s="29"/>
      <c r="FH60" t="s">
        <v>416</v>
      </c>
      <c r="FI60" s="29" t="s">
        <v>38</v>
      </c>
      <c r="FK60" t="s">
        <v>417</v>
      </c>
      <c r="FL60" s="29"/>
      <c r="FM60" t="s">
        <v>153</v>
      </c>
      <c r="FQ60" t="s">
        <v>418</v>
      </c>
      <c r="FR60" s="29"/>
      <c r="FU60" t="s">
        <v>161</v>
      </c>
      <c r="FX60" s="29"/>
      <c r="FY60" t="s">
        <v>159</v>
      </c>
      <c r="GD60" s="29"/>
      <c r="GE60" s="29"/>
      <c r="GI60" s="29"/>
    </row>
    <row r="61" spans="1:191" ht="30">
      <c r="A61" s="228" t="s">
        <v>661</v>
      </c>
      <c r="B61" s="29" t="s">
        <v>355</v>
      </c>
      <c r="D61" s="14"/>
      <c r="E61" s="5" t="s">
        <v>809</v>
      </c>
      <c r="F61" s="5"/>
      <c r="G61" s="5" t="s">
        <v>810</v>
      </c>
      <c r="H61" s="5" t="s">
        <v>714</v>
      </c>
      <c r="I61" s="6" t="s">
        <v>811</v>
      </c>
      <c r="J61" s="26"/>
      <c r="K61" s="21"/>
      <c r="L61">
        <v>0.06</v>
      </c>
      <c r="M61">
        <v>0.06</v>
      </c>
      <c r="N61" s="4">
        <v>0.2</v>
      </c>
      <c r="O61">
        <v>0.2</v>
      </c>
      <c r="P61">
        <v>300</v>
      </c>
      <c r="Q61" s="67">
        <f>L61*1000000/P61</f>
        <v>200</v>
      </c>
      <c r="R61" t="s">
        <v>38</v>
      </c>
      <c r="T61" t="s">
        <v>356</v>
      </c>
      <c r="V61" t="s">
        <v>39</v>
      </c>
      <c r="Y61" t="s">
        <v>39</v>
      </c>
      <c r="AC61" s="29"/>
      <c r="AH61" t="s">
        <v>49</v>
      </c>
      <c r="AI61" s="33">
        <f>8.35/2000*AP61/100*AO61</f>
        <v>4.1749999999999998</v>
      </c>
      <c r="AJ61" s="119">
        <f t="shared" si="1"/>
        <v>69.583333333333329</v>
      </c>
      <c r="AK61" s="32">
        <f>AI61*0.907185</f>
        <v>3.7874973750000001</v>
      </c>
      <c r="AO61">
        <v>25000</v>
      </c>
      <c r="AP61">
        <v>4</v>
      </c>
      <c r="AQ61" s="148"/>
      <c r="AR61" s="73"/>
      <c r="AS61" s="70"/>
      <c r="AT61" s="29"/>
      <c r="AY61" s="83">
        <f>AI61</f>
        <v>4.1749999999999998</v>
      </c>
      <c r="AZ61" s="81" t="s">
        <v>357</v>
      </c>
      <c r="BA61" s="29"/>
      <c r="BB61" t="s">
        <v>39</v>
      </c>
      <c r="BD61" s="75">
        <v>0</v>
      </c>
      <c r="BE61" s="29"/>
      <c r="BF61" t="s">
        <v>39</v>
      </c>
      <c r="BH61" s="75"/>
      <c r="BI61" s="75"/>
      <c r="BJ61" s="75"/>
      <c r="BK61" s="75"/>
      <c r="BL61" s="75"/>
      <c r="BM61" s="75"/>
      <c r="BN61" s="75"/>
      <c r="BO61" s="75"/>
      <c r="BP61" s="75"/>
      <c r="BQ61" s="29">
        <v>10</v>
      </c>
      <c r="BR61" s="29" t="s">
        <v>71</v>
      </c>
      <c r="BS61" t="s">
        <v>72</v>
      </c>
      <c r="BT61" t="s">
        <v>73</v>
      </c>
      <c r="CB61" t="s">
        <v>358</v>
      </c>
      <c r="CC61" s="29"/>
      <c r="CJ61" t="s">
        <v>196</v>
      </c>
      <c r="CR61" t="s">
        <v>170</v>
      </c>
      <c r="CX61" s="29"/>
      <c r="CZ61" t="s">
        <v>105</v>
      </c>
      <c r="DA61" s="29" t="s">
        <v>106</v>
      </c>
      <c r="DD61" s="29"/>
      <c r="DH61" s="29"/>
      <c r="DS61" s="29"/>
      <c r="DZ61" t="s">
        <v>130</v>
      </c>
      <c r="EE61" s="29"/>
      <c r="EK61">
        <v>100</v>
      </c>
      <c r="EL61" s="99"/>
      <c r="EM61" s="112"/>
      <c r="EN61" s="112"/>
      <c r="EO61" s="112"/>
      <c r="EP61" s="112"/>
      <c r="EQ61" s="113"/>
      <c r="ES61" s="99">
        <v>9649.5</v>
      </c>
      <c r="ET61" s="111">
        <f>ES61/AI61</f>
        <v>2311.2574850299402</v>
      </c>
      <c r="EV61" s="29">
        <v>0</v>
      </c>
      <c r="EW61">
        <v>25</v>
      </c>
      <c r="EX61" s="29"/>
      <c r="FI61" s="29" t="s">
        <v>38</v>
      </c>
      <c r="FL61" s="29"/>
      <c r="FN61" t="s">
        <v>154</v>
      </c>
      <c r="FR61" s="29"/>
      <c r="FS61" t="s">
        <v>159</v>
      </c>
      <c r="FX61" s="29" t="s">
        <v>158</v>
      </c>
      <c r="GD61" s="29"/>
      <c r="GE61" s="29"/>
      <c r="GI61" s="29"/>
    </row>
    <row r="62" spans="1:191" ht="30">
      <c r="A62" s="228" t="s">
        <v>662</v>
      </c>
      <c r="B62" s="29" t="s">
        <v>244</v>
      </c>
      <c r="D62" s="14"/>
      <c r="E62" s="5" t="s">
        <v>812</v>
      </c>
      <c r="F62" s="5"/>
      <c r="G62" s="5" t="s">
        <v>813</v>
      </c>
      <c r="H62" s="5" t="s">
        <v>714</v>
      </c>
      <c r="I62" s="6" t="s">
        <v>814</v>
      </c>
      <c r="J62" s="14"/>
      <c r="K62" s="18"/>
      <c r="L62">
        <v>0.86</v>
      </c>
      <c r="M62">
        <v>0.86</v>
      </c>
      <c r="N62" s="4">
        <v>1.8</v>
      </c>
      <c r="O62">
        <v>1.8</v>
      </c>
      <c r="P62">
        <v>6700</v>
      </c>
      <c r="Q62" s="67">
        <f>L62*1000000/P62</f>
        <v>128.35820895522389</v>
      </c>
      <c r="S62" t="s">
        <v>39</v>
      </c>
      <c r="V62" t="s">
        <v>39</v>
      </c>
      <c r="Y62" t="s">
        <v>39</v>
      </c>
      <c r="AC62" s="29" t="s">
        <v>44</v>
      </c>
      <c r="AI62" s="29">
        <v>475</v>
      </c>
      <c r="AJ62" s="119">
        <f t="shared" si="1"/>
        <v>552.32558139534888</v>
      </c>
      <c r="AK62" s="32">
        <f>AI62*0.907185</f>
        <v>430.91287499999999</v>
      </c>
      <c r="AP62">
        <v>17</v>
      </c>
      <c r="AQ62" s="148" t="s">
        <v>38</v>
      </c>
      <c r="AR62" s="73">
        <v>1377</v>
      </c>
      <c r="AS62" s="70"/>
      <c r="AT62" s="77">
        <v>475</v>
      </c>
      <c r="AY62" s="68"/>
      <c r="AZ62" t="s">
        <v>245</v>
      </c>
      <c r="BA62" s="29" t="s">
        <v>38</v>
      </c>
      <c r="BD62" s="75">
        <v>6622000</v>
      </c>
      <c r="BE62" s="29"/>
      <c r="BF62" t="s">
        <v>39</v>
      </c>
      <c r="BH62" s="75"/>
      <c r="BI62" s="75"/>
      <c r="BJ62" s="75"/>
      <c r="BK62" s="75"/>
      <c r="BL62" s="75"/>
      <c r="BM62" s="75"/>
      <c r="BN62" s="75"/>
      <c r="BO62" s="75"/>
      <c r="BP62" s="75"/>
      <c r="BQ62" s="29">
        <v>60</v>
      </c>
      <c r="BR62" s="29"/>
      <c r="BS62" t="s">
        <v>72</v>
      </c>
      <c r="CC62" s="29"/>
      <c r="CD62" t="s">
        <v>170</v>
      </c>
      <c r="CM62" t="s">
        <v>172</v>
      </c>
      <c r="CT62" t="s">
        <v>172</v>
      </c>
      <c r="CX62" s="29"/>
      <c r="CZ62" t="s">
        <v>105</v>
      </c>
      <c r="DA62" s="29" t="s">
        <v>106</v>
      </c>
      <c r="DD62" s="29">
        <v>100</v>
      </c>
      <c r="DH62" s="29"/>
      <c r="DL62" t="s">
        <v>116</v>
      </c>
      <c r="DS62" s="29" t="s">
        <v>123</v>
      </c>
      <c r="DV62" t="s">
        <v>126</v>
      </c>
      <c r="DZ62" t="s">
        <v>130</v>
      </c>
      <c r="EE62" s="29"/>
      <c r="EJ62">
        <v>100</v>
      </c>
      <c r="EL62" s="99"/>
      <c r="EM62" s="112"/>
      <c r="EN62" s="112"/>
      <c r="EO62" s="112"/>
      <c r="EP62" s="112"/>
      <c r="EQ62" s="112"/>
      <c r="ES62" s="99"/>
      <c r="ET62" s="111"/>
      <c r="EU62" t="s">
        <v>246</v>
      </c>
      <c r="EV62" s="29">
        <v>0</v>
      </c>
      <c r="EW62">
        <v>0</v>
      </c>
      <c r="EX62" s="29"/>
      <c r="FI62" s="29"/>
      <c r="FJ62" t="s">
        <v>39</v>
      </c>
      <c r="FK62" t="s">
        <v>247</v>
      </c>
      <c r="FL62" s="29"/>
      <c r="FR62" s="29"/>
      <c r="FT62" t="s">
        <v>160</v>
      </c>
      <c r="FW62" s="40" t="s">
        <v>248</v>
      </c>
      <c r="FX62" s="29"/>
      <c r="GB62" t="s">
        <v>162</v>
      </c>
      <c r="GD62" s="29"/>
      <c r="GE62" s="29"/>
      <c r="GI62" s="29"/>
    </row>
    <row r="63" spans="1:191" ht="15.75">
      <c r="A63" s="228" t="s">
        <v>663</v>
      </c>
      <c r="B63" s="29" t="s">
        <v>366</v>
      </c>
      <c r="D63" s="14"/>
      <c r="E63" s="220" t="s">
        <v>954</v>
      </c>
      <c r="F63" s="5"/>
      <c r="G63" s="14" t="s">
        <v>955</v>
      </c>
      <c r="H63" s="14" t="s">
        <v>724</v>
      </c>
      <c r="I63" s="15" t="s">
        <v>956</v>
      </c>
      <c r="J63" s="48"/>
      <c r="K63" s="22"/>
      <c r="L63">
        <v>0.28499999999999998</v>
      </c>
      <c r="M63">
        <v>0.28499999999999998</v>
      </c>
      <c r="N63" s="4">
        <v>0.375</v>
      </c>
      <c r="O63">
        <v>0.375</v>
      </c>
      <c r="P63">
        <v>1500</v>
      </c>
      <c r="Q63" s="67">
        <f>L63*1000000/P63</f>
        <v>190</v>
      </c>
      <c r="R63" t="s">
        <v>38</v>
      </c>
      <c r="V63" t="s">
        <v>39</v>
      </c>
      <c r="Y63" t="s">
        <v>39</v>
      </c>
      <c r="AC63" s="29" t="s">
        <v>44</v>
      </c>
      <c r="AI63" s="29">
        <v>220</v>
      </c>
      <c r="AJ63" s="119">
        <f t="shared" si="1"/>
        <v>771.92982456140362</v>
      </c>
      <c r="AK63" s="32">
        <f>AI63*0.907185</f>
        <v>199.58070000000001</v>
      </c>
      <c r="AO63">
        <v>994200</v>
      </c>
      <c r="AP63">
        <v>5</v>
      </c>
      <c r="AQ63" s="148"/>
      <c r="AR63" s="73"/>
      <c r="AS63" s="70"/>
      <c r="AT63" s="29"/>
      <c r="AU63">
        <v>220</v>
      </c>
      <c r="BA63" s="29" t="s">
        <v>38</v>
      </c>
      <c r="BD63" s="75">
        <v>4982633</v>
      </c>
      <c r="BE63" s="29"/>
      <c r="BF63" t="s">
        <v>39</v>
      </c>
      <c r="BH63" s="75"/>
      <c r="BI63" s="75"/>
      <c r="BJ63" s="75"/>
      <c r="BK63" s="75"/>
      <c r="BL63" s="75"/>
      <c r="BM63" s="75"/>
      <c r="BN63" s="75"/>
      <c r="BO63" s="75"/>
      <c r="BP63" s="75"/>
      <c r="BQ63" s="29"/>
      <c r="BR63" s="29"/>
      <c r="BS63" t="s">
        <v>72</v>
      </c>
      <c r="CC63" s="29"/>
      <c r="CL63" t="s">
        <v>171</v>
      </c>
      <c r="CX63" s="29"/>
      <c r="CY63" t="s">
        <v>104</v>
      </c>
      <c r="DA63" s="29"/>
      <c r="DC63" t="s">
        <v>43</v>
      </c>
      <c r="DD63" s="29"/>
      <c r="DH63" s="29"/>
      <c r="DS63" s="29"/>
      <c r="DY63" t="s">
        <v>129</v>
      </c>
      <c r="EE63" s="29"/>
      <c r="EH63" t="s">
        <v>367</v>
      </c>
      <c r="EL63" s="99"/>
      <c r="EM63" s="112"/>
      <c r="EN63" s="112"/>
      <c r="EO63" s="115">
        <f>(71256.2*ET63)/ES63</f>
        <v>323.89181818181817</v>
      </c>
      <c r="EP63" s="112"/>
      <c r="EQ63" s="112"/>
      <c r="ER63" s="232" t="s">
        <v>368</v>
      </c>
      <c r="ES63" s="99">
        <v>116876.2</v>
      </c>
      <c r="ET63" s="111">
        <f>ES63/AI63</f>
        <v>531.25545454545454</v>
      </c>
      <c r="EV63" s="29">
        <v>20</v>
      </c>
      <c r="EW63">
        <v>10</v>
      </c>
      <c r="EX63" s="29"/>
      <c r="FA63" t="s">
        <v>369</v>
      </c>
      <c r="FC63" t="s">
        <v>370</v>
      </c>
      <c r="FE63" t="s">
        <v>307</v>
      </c>
      <c r="FI63" s="29" t="s">
        <v>38</v>
      </c>
      <c r="FL63" s="29"/>
      <c r="FM63" t="s">
        <v>153</v>
      </c>
      <c r="FR63" s="29"/>
      <c r="FT63" t="s">
        <v>160</v>
      </c>
      <c r="FX63" s="29"/>
      <c r="FY63" t="s">
        <v>159</v>
      </c>
      <c r="GD63" s="29"/>
      <c r="GE63" s="29"/>
      <c r="GI63" s="29"/>
    </row>
    <row r="64" spans="1:191" ht="15.75">
      <c r="A64" s="228" t="s">
        <v>664</v>
      </c>
      <c r="B64" s="29" t="s">
        <v>625</v>
      </c>
      <c r="D64" s="14"/>
      <c r="E64" s="5" t="s">
        <v>815</v>
      </c>
      <c r="F64" s="5"/>
      <c r="G64" s="5" t="s">
        <v>816</v>
      </c>
      <c r="H64" s="5" t="s">
        <v>714</v>
      </c>
      <c r="I64" s="6" t="s">
        <v>817</v>
      </c>
      <c r="J64" s="5"/>
      <c r="K64" s="20"/>
      <c r="L64">
        <v>0.8</v>
      </c>
      <c r="M64">
        <v>0.8</v>
      </c>
      <c r="N64" s="4">
        <v>1.25</v>
      </c>
      <c r="O64">
        <v>1.25</v>
      </c>
      <c r="P64">
        <v>6000</v>
      </c>
      <c r="Q64" s="67">
        <f>L64*1000000/P64</f>
        <v>133.33333333333334</v>
      </c>
      <c r="R64" t="s">
        <v>38</v>
      </c>
      <c r="T64" t="s">
        <v>339</v>
      </c>
      <c r="U64" t="s">
        <v>38</v>
      </c>
      <c r="W64" t="s">
        <v>340</v>
      </c>
      <c r="Y64" t="s">
        <v>39</v>
      </c>
      <c r="AC64" s="29"/>
      <c r="AD64" t="s">
        <v>45</v>
      </c>
      <c r="AI64" s="33">
        <f>1.10231162684681*AK64</f>
        <v>275.5779067117025</v>
      </c>
      <c r="AJ64" s="119">
        <f t="shared" si="1"/>
        <v>344.47238338962808</v>
      </c>
      <c r="AK64">
        <v>250</v>
      </c>
      <c r="AP64">
        <v>4</v>
      </c>
      <c r="AQ64" s="148" t="s">
        <v>38</v>
      </c>
      <c r="AR64" s="73">
        <v>196</v>
      </c>
      <c r="AS64" s="70">
        <v>213</v>
      </c>
      <c r="AT64" s="29"/>
      <c r="AU64" s="32">
        <f>1.10231162684681*250</f>
        <v>275.5779067117025</v>
      </c>
      <c r="AZ64" t="s">
        <v>341</v>
      </c>
      <c r="BA64" s="29" t="s">
        <v>38</v>
      </c>
      <c r="BC64" t="s">
        <v>342</v>
      </c>
      <c r="BD64" s="75">
        <v>2000000</v>
      </c>
      <c r="BE64" s="29"/>
      <c r="BF64" t="s">
        <v>39</v>
      </c>
      <c r="BH64" s="75"/>
      <c r="BI64" s="75"/>
      <c r="BJ64" s="75"/>
      <c r="BK64" s="75"/>
      <c r="BL64" s="75"/>
      <c r="BM64" s="75"/>
      <c r="BN64" s="75"/>
      <c r="BO64" s="75"/>
      <c r="BP64" s="75"/>
      <c r="BQ64" s="29">
        <v>43</v>
      </c>
      <c r="BR64" s="29" t="s">
        <v>71</v>
      </c>
      <c r="BS64" t="s">
        <v>72</v>
      </c>
      <c r="BT64" t="s">
        <v>73</v>
      </c>
      <c r="BU64" t="s">
        <v>74</v>
      </c>
      <c r="CC64" s="29"/>
      <c r="CD64" t="s">
        <v>170</v>
      </c>
      <c r="CK64" t="s">
        <v>170</v>
      </c>
      <c r="CR64" t="s">
        <v>170</v>
      </c>
      <c r="CX64" s="29"/>
      <c r="CY64" t="s">
        <v>104</v>
      </c>
      <c r="DA64" s="29"/>
      <c r="DB64" s="68"/>
      <c r="DD64" s="29"/>
      <c r="DH64" s="29"/>
      <c r="DS64" s="29"/>
      <c r="EC64" t="s">
        <v>343</v>
      </c>
      <c r="EE64" s="29"/>
      <c r="EH64" t="s">
        <v>344</v>
      </c>
      <c r="EL64" s="99"/>
      <c r="EM64" s="112"/>
      <c r="EN64" s="112"/>
      <c r="EO64" s="112">
        <v>29</v>
      </c>
      <c r="EP64" s="112"/>
      <c r="EQ64" s="112"/>
      <c r="ES64" s="99">
        <v>175000</v>
      </c>
      <c r="ET64" s="111">
        <f>ES64/AI64</f>
        <v>635.02913600064937</v>
      </c>
      <c r="EU64" t="s">
        <v>345</v>
      </c>
      <c r="EV64" s="29">
        <v>31</v>
      </c>
      <c r="EW64">
        <v>50</v>
      </c>
      <c r="EX64" s="29">
        <v>30</v>
      </c>
      <c r="FA64">
        <v>30</v>
      </c>
      <c r="FB64">
        <v>30</v>
      </c>
      <c r="FC64" t="s">
        <v>346</v>
      </c>
      <c r="FD64" t="s">
        <v>347</v>
      </c>
      <c r="FH64" t="s">
        <v>348</v>
      </c>
      <c r="FI64" s="29" t="s">
        <v>38</v>
      </c>
      <c r="FK64" t="s">
        <v>349</v>
      </c>
      <c r="FL64" s="29"/>
      <c r="FM64" t="s">
        <v>153</v>
      </c>
      <c r="FQ64" t="s">
        <v>350</v>
      </c>
      <c r="FR64" s="29"/>
      <c r="FU64" t="s">
        <v>161</v>
      </c>
      <c r="FW64" s="40" t="s">
        <v>351</v>
      </c>
      <c r="FX64" s="29"/>
      <c r="FZ64" t="s">
        <v>160</v>
      </c>
      <c r="GC64" t="s">
        <v>352</v>
      </c>
      <c r="GD64" s="29"/>
      <c r="GE64" s="29"/>
      <c r="GI64" s="29"/>
    </row>
    <row r="65" spans="1:191" ht="15.75">
      <c r="A65" s="228" t="s">
        <v>1030</v>
      </c>
      <c r="B65" s="29"/>
      <c r="D65" s="14"/>
      <c r="E65" s="48"/>
      <c r="F65" s="5"/>
      <c r="G65" s="5"/>
      <c r="H65" s="5"/>
      <c r="I65" s="6"/>
      <c r="J65" s="5"/>
      <c r="K65" s="20"/>
      <c r="L65" s="50">
        <v>0.21</v>
      </c>
      <c r="M65" s="50"/>
      <c r="N65" s="61">
        <v>0.3</v>
      </c>
      <c r="O65" s="50"/>
      <c r="Q65" s="67"/>
      <c r="AC65" s="29"/>
      <c r="AI65" s="56">
        <v>53.1</v>
      </c>
      <c r="AJ65" s="119">
        <f t="shared" si="1"/>
        <v>252.85714285714286</v>
      </c>
      <c r="AK65" s="32">
        <f>AI65*0.907185</f>
        <v>48.171523499999999</v>
      </c>
      <c r="AQ65" s="148"/>
      <c r="AR65" s="73"/>
      <c r="AS65" s="70"/>
      <c r="AT65" s="29"/>
      <c r="AU65" s="34">
        <f>AI65</f>
        <v>53.1</v>
      </c>
      <c r="AZ65" s="34" t="s">
        <v>1112</v>
      </c>
      <c r="BA65" s="29"/>
      <c r="BD65" s="75"/>
      <c r="BE65" s="29"/>
      <c r="BH65" s="75"/>
      <c r="BI65" s="75"/>
      <c r="BJ65" s="75"/>
      <c r="BK65" s="75"/>
      <c r="BL65" s="75"/>
      <c r="BM65" s="75"/>
      <c r="BN65" s="75"/>
      <c r="BO65" s="75"/>
      <c r="BP65" s="75"/>
      <c r="BQ65" s="29"/>
      <c r="BR65" s="29"/>
      <c r="CC65" s="29"/>
      <c r="CX65" s="29"/>
      <c r="DA65" s="29"/>
      <c r="DD65" s="29"/>
      <c r="DH65" s="29"/>
      <c r="DS65" s="29"/>
      <c r="EE65" s="29"/>
      <c r="EL65" s="99"/>
      <c r="EM65" s="112"/>
      <c r="EN65" s="112"/>
      <c r="EO65" s="112"/>
      <c r="EP65" s="112"/>
      <c r="EQ65" s="112"/>
      <c r="ES65" s="99"/>
      <c r="ET65" s="111"/>
      <c r="EV65" s="29"/>
      <c r="EX65" s="29"/>
      <c r="FI65" s="29"/>
      <c r="FL65" s="29"/>
      <c r="FR65" s="29"/>
      <c r="FX65" s="29"/>
      <c r="GD65" s="29"/>
      <c r="GE65" s="29"/>
      <c r="GI65" s="29"/>
    </row>
    <row r="66" spans="1:191" ht="15.75">
      <c r="A66" s="228" t="s">
        <v>1031</v>
      </c>
      <c r="B66" s="29"/>
      <c r="D66" s="14"/>
      <c r="E66" s="5"/>
      <c r="F66" s="5"/>
      <c r="G66" s="5"/>
      <c r="H66" s="5"/>
      <c r="I66" s="6"/>
      <c r="J66" s="5"/>
      <c r="K66" s="20"/>
      <c r="L66" s="50">
        <v>1.01</v>
      </c>
      <c r="M66" s="50"/>
      <c r="N66" s="61">
        <v>1.8</v>
      </c>
      <c r="O66" s="50"/>
      <c r="Q66" s="67"/>
      <c r="AC66" s="29"/>
      <c r="AI66" s="56">
        <v>153.01</v>
      </c>
      <c r="AJ66" s="119">
        <f t="shared" si="1"/>
        <v>151.49504950495049</v>
      </c>
      <c r="AK66" s="32">
        <f>AI66*0.907185</f>
        <v>138.80837685</v>
      </c>
      <c r="AQ66" s="148"/>
      <c r="AR66" s="73"/>
      <c r="AS66" s="70"/>
      <c r="AT66" s="29"/>
      <c r="AU66" s="34">
        <f>AI66</f>
        <v>153.01</v>
      </c>
      <c r="AZ66" s="34" t="s">
        <v>1112</v>
      </c>
      <c r="BA66" s="29"/>
      <c r="BD66" s="75"/>
      <c r="BE66" s="29"/>
      <c r="BH66" s="75"/>
      <c r="BI66" s="75"/>
      <c r="BJ66" s="75"/>
      <c r="BK66" s="75"/>
      <c r="BL66" s="75"/>
      <c r="BM66" s="75"/>
      <c r="BN66" s="75"/>
      <c r="BO66" s="75"/>
      <c r="BP66" s="75"/>
      <c r="BQ66" s="29"/>
      <c r="BR66" s="29"/>
      <c r="CC66" s="29"/>
      <c r="CX66" s="29"/>
      <c r="DA66" s="29"/>
      <c r="DD66" s="29"/>
      <c r="DH66" s="29"/>
      <c r="DS66" s="29"/>
      <c r="EE66" s="29"/>
      <c r="EL66" s="99"/>
      <c r="EM66" s="112"/>
      <c r="EN66" s="112"/>
      <c r="EO66" s="112"/>
      <c r="EP66" s="112"/>
      <c r="EQ66" s="112"/>
      <c r="ES66" s="99"/>
      <c r="ET66" s="111"/>
      <c r="EV66" s="29"/>
      <c r="EX66" s="29"/>
      <c r="FI66" s="29"/>
      <c r="FL66" s="29"/>
      <c r="FR66" s="29"/>
      <c r="FX66" s="29"/>
      <c r="GD66" s="29"/>
      <c r="GE66" s="29"/>
      <c r="GI66" s="29"/>
    </row>
    <row r="67" spans="1:191" ht="15.75">
      <c r="A67" s="228" t="s">
        <v>1218</v>
      </c>
      <c r="B67" s="29" t="s">
        <v>446</v>
      </c>
      <c r="D67" s="5"/>
      <c r="E67" s="5" t="s">
        <v>818</v>
      </c>
      <c r="F67" s="5"/>
      <c r="G67" s="5" t="s">
        <v>819</v>
      </c>
      <c r="H67" s="5" t="s">
        <v>714</v>
      </c>
      <c r="I67" s="6" t="s">
        <v>820</v>
      </c>
      <c r="J67" s="5"/>
      <c r="K67" s="20"/>
      <c r="L67">
        <v>8.2200000000000006</v>
      </c>
      <c r="M67">
        <v>8.2200000000000006</v>
      </c>
      <c r="N67" s="4">
        <v>9.3000000000000007</v>
      </c>
      <c r="O67">
        <v>9.3000000000000007</v>
      </c>
      <c r="P67">
        <v>42000</v>
      </c>
      <c r="Q67" s="67">
        <f t="shared" ref="Q67:Q75" si="4">L67*1000000/P67</f>
        <v>195.71428571428572</v>
      </c>
      <c r="S67" t="s">
        <v>39</v>
      </c>
      <c r="T67" t="s">
        <v>404</v>
      </c>
      <c r="U67" t="s">
        <v>38</v>
      </c>
      <c r="W67" t="s">
        <v>424</v>
      </c>
      <c r="X67" t="s">
        <v>38</v>
      </c>
      <c r="AC67" s="29" t="s">
        <v>44</v>
      </c>
      <c r="AI67" s="29">
        <v>1294</v>
      </c>
      <c r="AJ67" s="119">
        <f t="shared" si="1"/>
        <v>157.42092457420924</v>
      </c>
      <c r="AK67" s="32">
        <f>AI67*0.907185</f>
        <v>1173.8973900000001</v>
      </c>
      <c r="AP67">
        <v>5</v>
      </c>
      <c r="AQ67" s="148" t="s">
        <v>38</v>
      </c>
      <c r="AR67" s="73">
        <v>1281.3399999999999</v>
      </c>
      <c r="AS67" s="70">
        <v>1268.8599999999999</v>
      </c>
      <c r="AT67" s="29"/>
      <c r="AU67">
        <v>1294</v>
      </c>
      <c r="BA67" s="29" t="s">
        <v>38</v>
      </c>
      <c r="BD67" s="75">
        <v>100000</v>
      </c>
      <c r="BE67" s="29"/>
      <c r="BF67" t="s">
        <v>39</v>
      </c>
      <c r="BH67" s="75"/>
      <c r="BI67" s="75"/>
      <c r="BJ67" s="75"/>
      <c r="BK67" s="75"/>
      <c r="BL67" s="75"/>
      <c r="BM67" s="75"/>
      <c r="BN67" s="75"/>
      <c r="BO67" s="75"/>
      <c r="BP67" s="75"/>
      <c r="BQ67" s="29">
        <v>40</v>
      </c>
      <c r="BR67" s="29"/>
      <c r="BS67" t="s">
        <v>72</v>
      </c>
      <c r="CC67" s="29"/>
      <c r="CX67" s="29"/>
      <c r="CZ67" t="s">
        <v>105</v>
      </c>
      <c r="DA67" s="29"/>
      <c r="DC67" t="s">
        <v>43</v>
      </c>
      <c r="DD67" s="29"/>
      <c r="DH67" s="29"/>
      <c r="DS67" s="29"/>
      <c r="EC67" t="s">
        <v>447</v>
      </c>
      <c r="EE67" s="29"/>
      <c r="EH67">
        <v>100</v>
      </c>
      <c r="EL67" s="99"/>
      <c r="EM67" s="112"/>
      <c r="EN67" s="112"/>
      <c r="EO67" s="113">
        <f>295*0.78</f>
        <v>230.1</v>
      </c>
      <c r="EP67" s="112"/>
      <c r="EQ67" s="112"/>
      <c r="ER67" s="68" t="s">
        <v>1198</v>
      </c>
      <c r="ES67" s="99">
        <v>382000</v>
      </c>
      <c r="ET67" s="111">
        <f>ES67/AI67</f>
        <v>295.20865533230295</v>
      </c>
      <c r="EV67" s="29">
        <v>10</v>
      </c>
      <c r="EW67">
        <v>25</v>
      </c>
      <c r="EX67" s="29"/>
      <c r="FI67" s="29" t="s">
        <v>38</v>
      </c>
      <c r="FL67" s="29"/>
      <c r="FM67" t="s">
        <v>153</v>
      </c>
      <c r="FQ67" t="s">
        <v>448</v>
      </c>
      <c r="FR67" s="29"/>
      <c r="FU67" t="s">
        <v>161</v>
      </c>
      <c r="FW67" s="40" t="s">
        <v>449</v>
      </c>
      <c r="FX67" s="29"/>
      <c r="FY67" t="s">
        <v>159</v>
      </c>
      <c r="GC67" t="s">
        <v>450</v>
      </c>
      <c r="GD67" s="29"/>
      <c r="GE67" s="29"/>
      <c r="GI67" s="29"/>
    </row>
    <row r="68" spans="1:191" ht="30">
      <c r="A68" s="228" t="s">
        <v>665</v>
      </c>
      <c r="B68" s="29" t="s">
        <v>552</v>
      </c>
      <c r="D68" s="5"/>
      <c r="E68" s="5" t="s">
        <v>821</v>
      </c>
      <c r="F68" s="5"/>
      <c r="G68" s="5" t="s">
        <v>822</v>
      </c>
      <c r="H68" s="5" t="s">
        <v>714</v>
      </c>
      <c r="I68" s="6" t="s">
        <v>823</v>
      </c>
      <c r="J68" s="5"/>
      <c r="K68" s="20"/>
      <c r="L68">
        <v>33.4</v>
      </c>
      <c r="M68">
        <v>33.4</v>
      </c>
      <c r="N68" s="4">
        <v>32</v>
      </c>
      <c r="O68">
        <v>32</v>
      </c>
      <c r="P68">
        <v>200000</v>
      </c>
      <c r="Q68" s="67">
        <f t="shared" si="4"/>
        <v>167</v>
      </c>
      <c r="R68" t="s">
        <v>38</v>
      </c>
      <c r="T68" t="s">
        <v>553</v>
      </c>
      <c r="V68" t="s">
        <v>39</v>
      </c>
      <c r="X68" t="s">
        <v>38</v>
      </c>
      <c r="AB68" t="s">
        <v>554</v>
      </c>
      <c r="AC68" s="29"/>
      <c r="AE68" t="s">
        <v>46</v>
      </c>
      <c r="AI68" s="33">
        <f>AL68*AP68/100</f>
        <v>6530.16</v>
      </c>
      <c r="AJ68" s="119">
        <f t="shared" si="1"/>
        <v>195.51377245508982</v>
      </c>
      <c r="AK68" s="32">
        <f>AI68*0.907185</f>
        <v>5924.0631996000002</v>
      </c>
      <c r="AL68">
        <v>25116</v>
      </c>
      <c r="AP68">
        <v>26</v>
      </c>
      <c r="AQ68" s="148"/>
      <c r="AR68" s="73"/>
      <c r="AS68" s="70"/>
      <c r="AT68" s="33">
        <f>0.26*14188</f>
        <v>3688.88</v>
      </c>
      <c r="AU68" s="32">
        <f>0.26*571</f>
        <v>148.46</v>
      </c>
      <c r="AV68" s="32">
        <f>0.26*8839</f>
        <v>2298.14</v>
      </c>
      <c r="AY68" s="27">
        <f>0.26*1508</f>
        <v>392.08000000000004</v>
      </c>
      <c r="AZ68" s="27" t="s">
        <v>555</v>
      </c>
      <c r="BA68" s="29" t="s">
        <v>38</v>
      </c>
      <c r="BD68" s="75">
        <v>10903551</v>
      </c>
      <c r="BE68" s="29" t="s">
        <v>38</v>
      </c>
      <c r="BH68" s="75"/>
      <c r="BI68" s="75">
        <v>12241730</v>
      </c>
      <c r="BJ68" s="75"/>
      <c r="BK68" s="75"/>
      <c r="BL68" s="75"/>
      <c r="BM68" s="75">
        <v>14469462</v>
      </c>
      <c r="BN68" s="75"/>
      <c r="BO68" s="75"/>
      <c r="BP68" s="75" t="s">
        <v>556</v>
      </c>
      <c r="BQ68" s="29">
        <v>70</v>
      </c>
      <c r="BR68" s="29" t="s">
        <v>71</v>
      </c>
      <c r="BS68" t="s">
        <v>72</v>
      </c>
      <c r="CC68" s="29"/>
      <c r="CD68" t="s">
        <v>170</v>
      </c>
      <c r="CP68" t="s">
        <v>203</v>
      </c>
      <c r="CT68" t="s">
        <v>172</v>
      </c>
      <c r="CX68" s="29"/>
      <c r="CY68" t="s">
        <v>104</v>
      </c>
      <c r="DA68" s="29" t="s">
        <v>106</v>
      </c>
      <c r="DD68" s="29"/>
      <c r="DG68">
        <v>100</v>
      </c>
      <c r="DH68" s="29"/>
      <c r="DQ68" t="s">
        <v>121</v>
      </c>
      <c r="DS68" s="29" t="s">
        <v>123</v>
      </c>
      <c r="DV68" t="s">
        <v>126</v>
      </c>
      <c r="DZ68" t="s">
        <v>130</v>
      </c>
      <c r="EC68" t="s">
        <v>557</v>
      </c>
      <c r="EE68" s="29"/>
      <c r="EH68">
        <v>2.2000000000000002</v>
      </c>
      <c r="EI68">
        <v>35.200000000000003</v>
      </c>
      <c r="EJ68">
        <v>62.6</v>
      </c>
      <c r="EL68" s="99"/>
      <c r="EM68" s="112"/>
      <c r="EN68" s="112"/>
      <c r="EO68" s="113">
        <f>47278.8/148</f>
        <v>319.45135135135138</v>
      </c>
      <c r="EP68" s="113">
        <f>732697.2/2298</f>
        <v>318.84125326370753</v>
      </c>
      <c r="EQ68" s="113">
        <f>1299628.8/(3689+392)</f>
        <v>318.45841705464346</v>
      </c>
      <c r="ES68" s="99">
        <v>2079604.8</v>
      </c>
      <c r="ET68" s="111">
        <f>ES68/AI68</f>
        <v>318.46153846153845</v>
      </c>
      <c r="EU68" t="s">
        <v>558</v>
      </c>
      <c r="EV68" s="29">
        <v>5</v>
      </c>
      <c r="EW68">
        <v>-5</v>
      </c>
      <c r="EX68" s="29"/>
      <c r="FA68" t="s">
        <v>559</v>
      </c>
      <c r="FC68" t="s">
        <v>560</v>
      </c>
      <c r="FE68" t="s">
        <v>561</v>
      </c>
      <c r="FF68" t="s">
        <v>562</v>
      </c>
      <c r="FH68" t="s">
        <v>563</v>
      </c>
      <c r="FI68" s="29" t="s">
        <v>38</v>
      </c>
      <c r="FL68" s="29"/>
      <c r="FP68" t="s">
        <v>156</v>
      </c>
      <c r="FR68" s="29"/>
      <c r="FV68" t="s">
        <v>162</v>
      </c>
      <c r="FW68" s="40" t="s">
        <v>564</v>
      </c>
      <c r="FX68" s="29" t="s">
        <v>158</v>
      </c>
      <c r="GC68" t="s">
        <v>565</v>
      </c>
      <c r="GD68" s="29"/>
      <c r="GE68" s="29"/>
      <c r="GI68" s="29"/>
    </row>
    <row r="69" spans="1:191" ht="15.75">
      <c r="A69" s="228" t="s">
        <v>666</v>
      </c>
      <c r="B69" s="29" t="s">
        <v>331</v>
      </c>
      <c r="D69" s="13"/>
      <c r="E69" s="5" t="s">
        <v>824</v>
      </c>
      <c r="F69" s="5"/>
      <c r="G69" s="5" t="s">
        <v>825</v>
      </c>
      <c r="H69" s="5" t="s">
        <v>714</v>
      </c>
      <c r="I69" s="6" t="s">
        <v>826</v>
      </c>
      <c r="J69" s="5"/>
      <c r="K69" s="19"/>
      <c r="L69">
        <v>24.08</v>
      </c>
      <c r="M69">
        <v>24.08</v>
      </c>
      <c r="N69" s="4">
        <v>32.299999999999997</v>
      </c>
      <c r="O69">
        <v>32.299999999999997</v>
      </c>
      <c r="P69">
        <v>94000</v>
      </c>
      <c r="Q69" s="67">
        <f t="shared" si="4"/>
        <v>256.17021276595744</v>
      </c>
      <c r="S69" t="s">
        <v>39</v>
      </c>
      <c r="T69" t="s">
        <v>218</v>
      </c>
      <c r="V69" t="s">
        <v>39</v>
      </c>
      <c r="X69" t="s">
        <v>38</v>
      </c>
      <c r="AC69" s="29" t="s">
        <v>44</v>
      </c>
      <c r="AI69" s="29">
        <v>5158</v>
      </c>
      <c r="AJ69" s="119">
        <f t="shared" si="1"/>
        <v>214.20265780730898</v>
      </c>
      <c r="AK69" s="32">
        <f>AI69*0.907185</f>
        <v>4679.2602299999999</v>
      </c>
      <c r="AP69">
        <v>20</v>
      </c>
      <c r="AQ69" s="148" t="s">
        <v>38</v>
      </c>
      <c r="AR69" s="73">
        <v>5582.57</v>
      </c>
      <c r="AS69" s="70">
        <v>4428.7</v>
      </c>
      <c r="AT69" s="29"/>
      <c r="AU69">
        <v>5158</v>
      </c>
      <c r="BA69" s="29" t="s">
        <v>38</v>
      </c>
      <c r="BC69" t="s">
        <v>332</v>
      </c>
      <c r="BD69" s="94">
        <v>80000</v>
      </c>
      <c r="BE69" s="29"/>
      <c r="BF69" t="s">
        <v>39</v>
      </c>
      <c r="BH69" s="75"/>
      <c r="BI69" s="75"/>
      <c r="BJ69" s="75"/>
      <c r="BK69" s="75"/>
      <c r="BL69" s="75"/>
      <c r="BM69" s="75"/>
      <c r="BN69" s="75"/>
      <c r="BO69" s="75"/>
      <c r="BP69" s="75"/>
      <c r="BQ69" s="29">
        <v>55</v>
      </c>
      <c r="BR69" s="29" t="s">
        <v>71</v>
      </c>
      <c r="BS69" t="s">
        <v>72</v>
      </c>
      <c r="CB69" t="s">
        <v>333</v>
      </c>
      <c r="CC69" s="29"/>
      <c r="CD69" t="s">
        <v>170</v>
      </c>
      <c r="CK69" t="s">
        <v>170</v>
      </c>
      <c r="CT69" t="s">
        <v>172</v>
      </c>
      <c r="CX69" s="29" t="s">
        <v>103</v>
      </c>
      <c r="DA69" s="29"/>
      <c r="DC69" t="s">
        <v>43</v>
      </c>
      <c r="DD69" s="29"/>
      <c r="DH69" s="29"/>
      <c r="DS69" s="29"/>
      <c r="DV69" t="s">
        <v>126</v>
      </c>
      <c r="EE69" s="29"/>
      <c r="EH69">
        <v>100</v>
      </c>
      <c r="EL69" s="99"/>
      <c r="EM69" s="112"/>
      <c r="EN69" s="112"/>
      <c r="EO69" s="112"/>
      <c r="EP69" s="112"/>
      <c r="EQ69" s="112"/>
      <c r="ES69" s="99"/>
      <c r="ET69" s="111"/>
      <c r="EV69" s="29">
        <v>-15</v>
      </c>
      <c r="EW69">
        <v>15</v>
      </c>
      <c r="EX69" s="29"/>
      <c r="FB69" t="s">
        <v>334</v>
      </c>
      <c r="FI69" s="29"/>
      <c r="FJ69" t="s">
        <v>39</v>
      </c>
      <c r="FK69" t="s">
        <v>335</v>
      </c>
      <c r="FL69" s="29"/>
      <c r="FQ69" t="s">
        <v>335</v>
      </c>
      <c r="FR69" s="29"/>
      <c r="FT69" t="s">
        <v>160</v>
      </c>
      <c r="FX69" s="29"/>
      <c r="FZ69" t="s">
        <v>160</v>
      </c>
      <c r="GD69" s="29"/>
      <c r="GE69" s="29"/>
      <c r="GI69" s="29"/>
    </row>
    <row r="70" spans="1:191" ht="15.75">
      <c r="A70" s="228" t="s">
        <v>667</v>
      </c>
      <c r="B70" s="29" t="s">
        <v>630</v>
      </c>
      <c r="D70" s="5"/>
      <c r="E70" s="5" t="s">
        <v>827</v>
      </c>
      <c r="F70" s="5"/>
      <c r="G70" s="5" t="s">
        <v>828</v>
      </c>
      <c r="H70" s="5" t="s">
        <v>714</v>
      </c>
      <c r="I70" s="6" t="s">
        <v>829</v>
      </c>
      <c r="J70" s="5"/>
      <c r="K70" s="20"/>
      <c r="L70">
        <v>0.47499999999999998</v>
      </c>
      <c r="M70">
        <v>0.47499999999999998</v>
      </c>
      <c r="N70" s="4">
        <v>0.67</v>
      </c>
      <c r="O70">
        <v>0.67</v>
      </c>
      <c r="P70">
        <v>4000</v>
      </c>
      <c r="Q70" s="67">
        <f t="shared" si="4"/>
        <v>118.75</v>
      </c>
      <c r="S70" t="s">
        <v>39</v>
      </c>
      <c r="V70" t="s">
        <v>39</v>
      </c>
      <c r="Y70" t="s">
        <v>39</v>
      </c>
      <c r="AC70" s="29" t="s">
        <v>44</v>
      </c>
      <c r="AI70" s="33">
        <f t="shared" ref="AI70:AI76" si="5">1.10231162684681*AK70</f>
        <v>48.501711581259642</v>
      </c>
      <c r="AJ70" s="119">
        <f t="shared" si="1"/>
        <v>102.10886648686241</v>
      </c>
      <c r="AK70">
        <v>44</v>
      </c>
      <c r="AP70">
        <v>4</v>
      </c>
      <c r="AQ70" s="148" t="s">
        <v>38</v>
      </c>
      <c r="AR70" s="73">
        <v>42.16</v>
      </c>
      <c r="AS70" s="70"/>
      <c r="AT70" s="29"/>
      <c r="AU70" s="32">
        <f>1.10231162684681*44</f>
        <v>48.501711581259642</v>
      </c>
      <c r="BA70" s="29"/>
      <c r="BB70" t="s">
        <v>39</v>
      </c>
      <c r="BD70" s="75"/>
      <c r="BE70" s="29"/>
      <c r="BF70" t="s">
        <v>39</v>
      </c>
      <c r="BH70" s="75"/>
      <c r="BI70" s="75"/>
      <c r="BJ70" s="75"/>
      <c r="BK70" s="75"/>
      <c r="BL70" s="75"/>
      <c r="BM70" s="75"/>
      <c r="BN70" s="75"/>
      <c r="BO70" s="75"/>
      <c r="BP70" s="75"/>
      <c r="BQ70" s="29"/>
      <c r="BR70" s="29"/>
      <c r="CC70" s="29"/>
      <c r="CK70" t="s">
        <v>170</v>
      </c>
      <c r="CX70" s="29"/>
      <c r="CZ70" t="s">
        <v>105</v>
      </c>
      <c r="DA70" s="29" t="s">
        <v>106</v>
      </c>
      <c r="DD70" s="29"/>
      <c r="DG70">
        <v>100</v>
      </c>
      <c r="DH70" s="29"/>
      <c r="DS70" s="29"/>
      <c r="EC70" t="s">
        <v>457</v>
      </c>
      <c r="EE70" s="29"/>
      <c r="EH70">
        <v>100</v>
      </c>
      <c r="EL70" s="99"/>
      <c r="EM70" s="112"/>
      <c r="EN70" s="112"/>
      <c r="EO70" s="112">
        <v>23.53</v>
      </c>
      <c r="EP70" s="112"/>
      <c r="EQ70" s="112"/>
      <c r="ES70" s="99">
        <v>32000</v>
      </c>
      <c r="ET70" s="111">
        <f>ES70/AI70</f>
        <v>659.77053090976563</v>
      </c>
      <c r="EU70" t="s">
        <v>458</v>
      </c>
      <c r="EV70" s="29">
        <v>0</v>
      </c>
      <c r="EW70">
        <v>34</v>
      </c>
      <c r="EX70" s="29" t="s">
        <v>459</v>
      </c>
      <c r="FH70" t="s">
        <v>460</v>
      </c>
      <c r="FI70" s="29" t="s">
        <v>38</v>
      </c>
      <c r="FL70" s="29"/>
      <c r="FM70" t="s">
        <v>153</v>
      </c>
      <c r="FQ70" t="s">
        <v>461</v>
      </c>
      <c r="FR70" s="29"/>
      <c r="FV70" t="s">
        <v>162</v>
      </c>
      <c r="FW70" s="40" t="s">
        <v>462</v>
      </c>
      <c r="FX70" s="29"/>
      <c r="FY70" t="s">
        <v>159</v>
      </c>
      <c r="GC70" t="s">
        <v>463</v>
      </c>
      <c r="GD70" s="29"/>
      <c r="GE70" s="29"/>
      <c r="GI70" s="29"/>
    </row>
    <row r="71" spans="1:191" ht="45">
      <c r="A71" s="228" t="s">
        <v>668</v>
      </c>
      <c r="B71" s="29" t="s">
        <v>622</v>
      </c>
      <c r="D71" s="16"/>
      <c r="E71" s="5" t="s">
        <v>830</v>
      </c>
      <c r="F71" s="5"/>
      <c r="G71" s="5" t="s">
        <v>831</v>
      </c>
      <c r="H71" s="5" t="s">
        <v>714</v>
      </c>
      <c r="I71" s="6" t="s">
        <v>832</v>
      </c>
      <c r="J71" s="5"/>
      <c r="K71" s="18"/>
      <c r="L71">
        <v>2.6629999999999998</v>
      </c>
      <c r="M71">
        <v>2.6629999999999998</v>
      </c>
      <c r="N71" s="4">
        <v>4.1399999999999997</v>
      </c>
      <c r="O71">
        <v>4.1399999999999997</v>
      </c>
      <c r="P71">
        <v>31300</v>
      </c>
      <c r="Q71" s="67">
        <f t="shared" si="4"/>
        <v>85.079872204472849</v>
      </c>
      <c r="R71" t="s">
        <v>38</v>
      </c>
      <c r="T71" t="s">
        <v>255</v>
      </c>
      <c r="U71" t="s">
        <v>38</v>
      </c>
      <c r="W71" t="s">
        <v>256</v>
      </c>
      <c r="X71" t="s">
        <v>38</v>
      </c>
      <c r="AC71" s="29"/>
      <c r="AD71" t="s">
        <v>45</v>
      </c>
      <c r="AI71" s="33">
        <f t="shared" si="5"/>
        <v>849.8822642988905</v>
      </c>
      <c r="AJ71" s="119">
        <f t="shared" si="1"/>
        <v>319.14467303751053</v>
      </c>
      <c r="AK71">
        <v>771</v>
      </c>
      <c r="AP71">
        <v>4</v>
      </c>
      <c r="AQ71" s="148"/>
      <c r="AR71" s="73"/>
      <c r="AS71" s="70"/>
      <c r="AT71" s="29"/>
      <c r="AU71" s="32">
        <f>1.10231162684681*771</f>
        <v>849.8822642988905</v>
      </c>
      <c r="BA71" s="29" t="s">
        <v>38</v>
      </c>
      <c r="BD71" s="75">
        <v>627800</v>
      </c>
      <c r="BE71" s="29"/>
      <c r="BF71" t="s">
        <v>39</v>
      </c>
      <c r="BH71" s="75"/>
      <c r="BI71" s="75"/>
      <c r="BJ71" s="75"/>
      <c r="BK71" s="75"/>
      <c r="BL71" s="75"/>
      <c r="BM71" s="75"/>
      <c r="BN71" s="75"/>
      <c r="BO71" s="75"/>
      <c r="BP71" s="75"/>
      <c r="BQ71" s="29">
        <v>100</v>
      </c>
      <c r="BR71" s="29" t="s">
        <v>71</v>
      </c>
      <c r="CA71" t="s">
        <v>80</v>
      </c>
      <c r="CC71" s="29" t="s">
        <v>180</v>
      </c>
      <c r="CJ71" t="s">
        <v>196</v>
      </c>
      <c r="CX71" s="29"/>
      <c r="CZ71" t="s">
        <v>105</v>
      </c>
      <c r="DA71" s="29" t="s">
        <v>106</v>
      </c>
      <c r="DD71" s="29"/>
      <c r="DH71" s="29"/>
      <c r="DS71" s="29"/>
      <c r="EB71" t="s">
        <v>132</v>
      </c>
      <c r="EE71" s="29"/>
      <c r="EH71">
        <v>100</v>
      </c>
      <c r="EL71" s="99"/>
      <c r="EM71" s="112"/>
      <c r="EN71" s="112"/>
      <c r="EO71" s="112"/>
      <c r="EP71" s="112"/>
      <c r="EQ71" s="112"/>
      <c r="ER71" t="s">
        <v>257</v>
      </c>
      <c r="ES71" s="99">
        <v>396000</v>
      </c>
      <c r="ET71" s="111">
        <f>ES71/AI71</f>
        <v>465.94689245183838</v>
      </c>
      <c r="EV71" s="29">
        <v>10</v>
      </c>
      <c r="EW71">
        <v>10</v>
      </c>
      <c r="EX71" s="29"/>
      <c r="FH71" t="s">
        <v>258</v>
      </c>
      <c r="FI71" s="29" t="s">
        <v>38</v>
      </c>
      <c r="FL71" s="29"/>
      <c r="FN71" t="s">
        <v>154</v>
      </c>
      <c r="FR71" s="29"/>
      <c r="FV71" t="s">
        <v>162</v>
      </c>
      <c r="FX71" s="29"/>
      <c r="FZ71" t="s">
        <v>160</v>
      </c>
      <c r="GD71" s="29"/>
      <c r="GE71" s="29"/>
      <c r="GI71" s="29"/>
    </row>
    <row r="72" spans="1:191" ht="45">
      <c r="A72" s="228" t="s">
        <v>669</v>
      </c>
      <c r="B72" s="29" t="s">
        <v>259</v>
      </c>
      <c r="D72" s="14"/>
      <c r="E72" s="5" t="s">
        <v>833</v>
      </c>
      <c r="F72" s="5"/>
      <c r="G72" s="5" t="s">
        <v>834</v>
      </c>
      <c r="H72" s="5" t="s">
        <v>714</v>
      </c>
      <c r="I72" s="6" t="s">
        <v>835</v>
      </c>
      <c r="J72" s="14"/>
      <c r="K72" s="20"/>
      <c r="L72">
        <v>0.57099999999999995</v>
      </c>
      <c r="M72">
        <v>0.57099999999999995</v>
      </c>
      <c r="N72" s="4">
        <v>0.58799999999999997</v>
      </c>
      <c r="O72">
        <v>0.58799999999999997</v>
      </c>
      <c r="P72">
        <v>6000</v>
      </c>
      <c r="Q72" s="67">
        <f t="shared" si="4"/>
        <v>95.166666666666671</v>
      </c>
      <c r="R72" t="s">
        <v>38</v>
      </c>
      <c r="T72" t="s">
        <v>260</v>
      </c>
      <c r="V72" t="s">
        <v>39</v>
      </c>
      <c r="Y72" t="s">
        <v>39</v>
      </c>
      <c r="AB72" t="s">
        <v>261</v>
      </c>
      <c r="AC72" s="29"/>
      <c r="AD72" t="s">
        <v>45</v>
      </c>
      <c r="AI72" s="33">
        <f t="shared" si="5"/>
        <v>83.77568364035757</v>
      </c>
      <c r="AJ72" s="119">
        <f t="shared" si="1"/>
        <v>146.71748448398876</v>
      </c>
      <c r="AK72">
        <v>76</v>
      </c>
      <c r="AQ72" s="148" t="s">
        <v>38</v>
      </c>
      <c r="AR72" s="73">
        <v>78.099999999999994</v>
      </c>
      <c r="AS72" s="70"/>
      <c r="AT72" s="29"/>
      <c r="AY72" s="68">
        <f>AI72</f>
        <v>83.77568364035757</v>
      </c>
      <c r="AZ72" t="s">
        <v>262</v>
      </c>
      <c r="BA72" s="29"/>
      <c r="BB72" t="s">
        <v>39</v>
      </c>
      <c r="BD72" s="75">
        <v>0</v>
      </c>
      <c r="BE72" s="29"/>
      <c r="BF72" t="s">
        <v>39</v>
      </c>
      <c r="BH72" s="75"/>
      <c r="BI72" s="75"/>
      <c r="BJ72" s="75"/>
      <c r="BK72" s="75"/>
      <c r="BL72" s="75"/>
      <c r="BM72" s="75"/>
      <c r="BN72" s="75"/>
      <c r="BO72" s="75"/>
      <c r="BP72" s="75"/>
      <c r="BQ72" s="29"/>
      <c r="BR72" s="29"/>
      <c r="CB72" t="s">
        <v>263</v>
      </c>
      <c r="CC72" s="29"/>
      <c r="CI72" t="s">
        <v>203</v>
      </c>
      <c r="CP72" t="s">
        <v>203</v>
      </c>
      <c r="CW72" t="s">
        <v>203</v>
      </c>
      <c r="CX72" s="29" t="s">
        <v>103</v>
      </c>
      <c r="DA72" s="29"/>
      <c r="DC72" t="s">
        <v>43</v>
      </c>
      <c r="DD72" s="29"/>
      <c r="DG72">
        <v>100</v>
      </c>
      <c r="DH72" s="29"/>
      <c r="DR72" t="s">
        <v>122</v>
      </c>
      <c r="DS72" s="29"/>
      <c r="EB72" t="s">
        <v>132</v>
      </c>
      <c r="ED72" t="s">
        <v>264</v>
      </c>
      <c r="EE72" s="29"/>
      <c r="EK72" t="s">
        <v>265</v>
      </c>
      <c r="EL72" s="99"/>
      <c r="EM72" s="112"/>
      <c r="EN72" s="112"/>
      <c r="EO72" s="112"/>
      <c r="EP72" s="112"/>
      <c r="EQ72" s="112"/>
      <c r="ER72" t="s">
        <v>266</v>
      </c>
      <c r="ES72" s="99"/>
      <c r="ET72" s="111"/>
      <c r="EV72" s="29">
        <v>100</v>
      </c>
      <c r="EW72">
        <v>100</v>
      </c>
      <c r="EX72" s="29"/>
      <c r="FB72" t="s">
        <v>267</v>
      </c>
      <c r="FC72" t="s">
        <v>268</v>
      </c>
      <c r="FD72" t="s">
        <v>269</v>
      </c>
      <c r="FH72" t="s">
        <v>270</v>
      </c>
      <c r="FI72" s="29"/>
      <c r="FJ72" t="s">
        <v>39</v>
      </c>
      <c r="FK72" t="s">
        <v>271</v>
      </c>
      <c r="FL72" s="29" t="s">
        <v>152</v>
      </c>
      <c r="FQ72" t="s">
        <v>272</v>
      </c>
      <c r="FR72" s="29"/>
      <c r="FU72" t="s">
        <v>161</v>
      </c>
      <c r="FW72" s="40" t="s">
        <v>273</v>
      </c>
      <c r="FX72" s="29" t="s">
        <v>158</v>
      </c>
      <c r="GC72" t="s">
        <v>274</v>
      </c>
      <c r="GD72" s="29"/>
      <c r="GE72" s="29"/>
      <c r="GI72" s="29"/>
    </row>
    <row r="73" spans="1:191" ht="30">
      <c r="A73" s="228" t="s">
        <v>670</v>
      </c>
      <c r="B73" s="29" t="s">
        <v>403</v>
      </c>
      <c r="D73" s="14"/>
      <c r="E73" s="5" t="s">
        <v>836</v>
      </c>
      <c r="F73" s="5"/>
      <c r="G73" s="5" t="s">
        <v>837</v>
      </c>
      <c r="H73" s="5" t="s">
        <v>714</v>
      </c>
      <c r="I73" s="6" t="s">
        <v>838</v>
      </c>
      <c r="J73" s="5"/>
      <c r="K73" s="21"/>
      <c r="L73">
        <v>3.88</v>
      </c>
      <c r="M73">
        <v>3.88</v>
      </c>
      <c r="N73" s="4">
        <v>5.5</v>
      </c>
      <c r="O73">
        <v>5.5</v>
      </c>
      <c r="P73">
        <v>400000</v>
      </c>
      <c r="Q73" s="67">
        <f t="shared" si="4"/>
        <v>9.6999999999999993</v>
      </c>
      <c r="S73" t="s">
        <v>39</v>
      </c>
      <c r="T73" t="s">
        <v>404</v>
      </c>
      <c r="U73" t="s">
        <v>38</v>
      </c>
      <c r="W73" t="s">
        <v>405</v>
      </c>
      <c r="X73" t="s">
        <v>38</v>
      </c>
      <c r="AC73" s="29"/>
      <c r="AD73" t="s">
        <v>45</v>
      </c>
      <c r="AI73" s="33">
        <f t="shared" si="5"/>
        <v>1738.3454355374195</v>
      </c>
      <c r="AJ73" s="119">
        <f t="shared" si="1"/>
        <v>448.02717410758237</v>
      </c>
      <c r="AK73">
        <v>1577</v>
      </c>
      <c r="AP73">
        <v>26</v>
      </c>
      <c r="AQ73" s="148"/>
      <c r="AR73" s="73"/>
      <c r="AS73" s="70"/>
      <c r="AT73" s="33">
        <f>1.10231162684681*77</f>
        <v>84.877995267204369</v>
      </c>
      <c r="AV73" s="79">
        <f>AI73-AT73</f>
        <v>1653.4674402702151</v>
      </c>
      <c r="AZ73" t="s">
        <v>406</v>
      </c>
      <c r="BA73" s="29" t="s">
        <v>38</v>
      </c>
      <c r="BD73" s="75">
        <v>136000</v>
      </c>
      <c r="BE73" s="29"/>
      <c r="BF73" t="s">
        <v>39</v>
      </c>
      <c r="BH73" s="75"/>
      <c r="BI73" s="75"/>
      <c r="BJ73" s="75"/>
      <c r="BK73" s="75"/>
      <c r="BL73" s="75"/>
      <c r="BM73" s="75"/>
      <c r="BN73" s="75"/>
      <c r="BO73" s="75"/>
      <c r="BP73" s="75"/>
      <c r="BQ73" s="29"/>
      <c r="BR73" s="29" t="s">
        <v>71</v>
      </c>
      <c r="CC73" s="29"/>
      <c r="CI73" t="s">
        <v>203</v>
      </c>
      <c r="CP73" t="s">
        <v>203</v>
      </c>
      <c r="CR73" t="s">
        <v>170</v>
      </c>
      <c r="CX73" s="29"/>
      <c r="CZ73" t="s">
        <v>105</v>
      </c>
      <c r="DA73" s="29" t="s">
        <v>106</v>
      </c>
      <c r="DD73" s="29"/>
      <c r="DG73">
        <v>100</v>
      </c>
      <c r="DH73" s="29"/>
      <c r="DR73" t="s">
        <v>122</v>
      </c>
      <c r="DS73" s="29"/>
      <c r="DV73" t="s">
        <v>126</v>
      </c>
      <c r="EE73" s="29"/>
      <c r="EI73">
        <v>95</v>
      </c>
      <c r="EJ73">
        <v>5</v>
      </c>
      <c r="EL73" s="99"/>
      <c r="EM73" s="112"/>
      <c r="EN73" s="112"/>
      <c r="EO73" s="112"/>
      <c r="EP73" s="113"/>
      <c r="EQ73" s="112"/>
      <c r="ES73" s="99">
        <v>574000</v>
      </c>
      <c r="ET73" s="111">
        <f>ES73/AI73</f>
        <v>330.19904344992545</v>
      </c>
      <c r="EV73" s="29">
        <v>25</v>
      </c>
      <c r="EW73">
        <v>33</v>
      </c>
      <c r="EX73" s="29"/>
      <c r="FD73" t="s">
        <v>407</v>
      </c>
      <c r="FE73" t="s">
        <v>408</v>
      </c>
      <c r="FI73" s="29" t="s">
        <v>38</v>
      </c>
      <c r="FL73" s="29"/>
      <c r="FM73" t="s">
        <v>153</v>
      </c>
      <c r="FR73" s="29"/>
      <c r="FV73" t="s">
        <v>162</v>
      </c>
      <c r="FW73" s="40" t="s">
        <v>409</v>
      </c>
      <c r="FX73" s="29"/>
      <c r="FZ73" t="s">
        <v>160</v>
      </c>
      <c r="GD73" s="29"/>
      <c r="GE73" s="29"/>
      <c r="GI73" s="29"/>
    </row>
    <row r="74" spans="1:191" ht="15.75">
      <c r="A74" s="228" t="s">
        <v>671</v>
      </c>
      <c r="B74" s="29" t="s">
        <v>709</v>
      </c>
      <c r="D74" s="14"/>
      <c r="E74" s="5" t="s">
        <v>839</v>
      </c>
      <c r="F74" s="5"/>
      <c r="G74" s="5" t="s">
        <v>837</v>
      </c>
      <c r="H74" s="5" t="s">
        <v>714</v>
      </c>
      <c r="I74" s="6" t="s">
        <v>838</v>
      </c>
      <c r="J74" s="14"/>
      <c r="K74" s="20"/>
      <c r="L74">
        <v>2.41</v>
      </c>
      <c r="M74">
        <v>2.41</v>
      </c>
      <c r="N74" s="4">
        <v>2.89</v>
      </c>
      <c r="O74">
        <v>2.89</v>
      </c>
      <c r="P74" s="40">
        <v>45000</v>
      </c>
      <c r="Q74" s="67">
        <f t="shared" si="4"/>
        <v>53.555555555555557</v>
      </c>
      <c r="S74" t="s">
        <v>39</v>
      </c>
      <c r="U74" t="s">
        <v>38</v>
      </c>
      <c r="W74" t="s">
        <v>1006</v>
      </c>
      <c r="X74" t="s">
        <v>38</v>
      </c>
      <c r="AB74" t="s">
        <v>399</v>
      </c>
      <c r="AC74" s="29"/>
      <c r="AD74" t="s">
        <v>45</v>
      </c>
      <c r="AI74" s="33">
        <f t="shared" si="5"/>
        <v>919.32789679023961</v>
      </c>
      <c r="AJ74" s="119">
        <f t="shared" ref="AJ74:AJ105" si="6">AI74/L74</f>
        <v>381.46385758931103</v>
      </c>
      <c r="AK74">
        <v>834</v>
      </c>
      <c r="AP74">
        <v>20</v>
      </c>
      <c r="AQ74" s="148" t="s">
        <v>38</v>
      </c>
      <c r="AR74" s="73">
        <v>838.2</v>
      </c>
      <c r="AS74" s="70"/>
      <c r="AT74" s="29"/>
      <c r="AU74" s="79">
        <f>1.10231162684681*834/2</f>
        <v>459.6639483951198</v>
      </c>
      <c r="AV74" s="79">
        <f>1.10231162684681*834/2</f>
        <v>459.6639483951198</v>
      </c>
      <c r="AY74" s="68"/>
      <c r="AZ74" t="s">
        <v>1007</v>
      </c>
      <c r="BA74" s="29" t="s">
        <v>38</v>
      </c>
      <c r="BD74" s="75">
        <v>2114600</v>
      </c>
      <c r="BE74" s="29"/>
      <c r="BF74" t="s">
        <v>39</v>
      </c>
      <c r="BH74" s="75"/>
      <c r="BI74" s="75"/>
      <c r="BJ74" s="75"/>
      <c r="BK74" s="75"/>
      <c r="BL74" s="75"/>
      <c r="BM74" s="75"/>
      <c r="BN74" s="75"/>
      <c r="BO74" s="75"/>
      <c r="BP74" s="75"/>
      <c r="BQ74" s="29">
        <v>60</v>
      </c>
      <c r="BR74" s="29" t="s">
        <v>71</v>
      </c>
      <c r="BS74" t="s">
        <v>72</v>
      </c>
      <c r="CB74" t="s">
        <v>1008</v>
      </c>
      <c r="CC74" s="29"/>
      <c r="CR74" t="s">
        <v>170</v>
      </c>
      <c r="CX74" s="29"/>
      <c r="CY74" t="s">
        <v>104</v>
      </c>
      <c r="CZ74" t="s">
        <v>105</v>
      </c>
      <c r="DA74" s="29" t="s">
        <v>106</v>
      </c>
      <c r="DD74" s="29"/>
      <c r="DG74">
        <v>100</v>
      </c>
      <c r="DH74" s="29"/>
      <c r="DS74" s="29" t="s">
        <v>123</v>
      </c>
      <c r="DZ74" t="s">
        <v>130</v>
      </c>
      <c r="EE74" s="29"/>
      <c r="EI74">
        <v>90</v>
      </c>
      <c r="EJ74">
        <v>10</v>
      </c>
      <c r="EL74" s="99"/>
      <c r="EM74" s="112"/>
      <c r="EN74" s="112"/>
      <c r="EO74" s="112"/>
      <c r="EP74" s="112">
        <v>110</v>
      </c>
      <c r="EQ74" s="112">
        <v>110</v>
      </c>
      <c r="ES74" s="99">
        <v>500000</v>
      </c>
      <c r="ET74" s="111">
        <f>ES74/AI74</f>
        <v>543.87558753053213</v>
      </c>
      <c r="EV74" s="29">
        <v>20</v>
      </c>
      <c r="EW74">
        <v>50</v>
      </c>
      <c r="EX74" s="29"/>
      <c r="FC74" t="s">
        <v>1009</v>
      </c>
      <c r="FI74" s="29" t="s">
        <v>38</v>
      </c>
      <c r="FL74" s="29" t="s">
        <v>152</v>
      </c>
      <c r="FR74" s="29"/>
      <c r="FT74" t="s">
        <v>160</v>
      </c>
      <c r="FX74" s="29"/>
      <c r="FZ74" t="s">
        <v>160</v>
      </c>
      <c r="GD74" s="29"/>
      <c r="GE74" s="29"/>
      <c r="GI74" s="29"/>
    </row>
    <row r="75" spans="1:191" ht="60">
      <c r="A75" s="228" t="s">
        <v>672</v>
      </c>
      <c r="B75" s="29" t="s">
        <v>445</v>
      </c>
      <c r="D75" s="5"/>
      <c r="E75" s="5" t="s">
        <v>840</v>
      </c>
      <c r="F75" s="5"/>
      <c r="G75" s="5" t="s">
        <v>841</v>
      </c>
      <c r="H75" s="5" t="s">
        <v>714</v>
      </c>
      <c r="I75" s="6" t="s">
        <v>842</v>
      </c>
      <c r="J75" s="5"/>
      <c r="K75" s="20"/>
      <c r="L75">
        <v>1.2</v>
      </c>
      <c r="M75">
        <v>1.2</v>
      </c>
      <c r="N75" s="4">
        <v>2.1</v>
      </c>
      <c r="O75">
        <v>2.1</v>
      </c>
      <c r="P75">
        <v>4600</v>
      </c>
      <c r="Q75" s="67">
        <f t="shared" si="4"/>
        <v>260.86956521739131</v>
      </c>
      <c r="S75" t="s">
        <v>39</v>
      </c>
      <c r="V75" t="s">
        <v>39</v>
      </c>
      <c r="Y75" t="s">
        <v>39</v>
      </c>
      <c r="AC75" s="29"/>
      <c r="AD75" t="s">
        <v>45</v>
      </c>
      <c r="AI75" s="33">
        <f t="shared" si="5"/>
        <v>283.29408809963019</v>
      </c>
      <c r="AJ75" s="119">
        <f t="shared" si="6"/>
        <v>236.07840674969182</v>
      </c>
      <c r="AK75">
        <v>257</v>
      </c>
      <c r="AP75">
        <v>7</v>
      </c>
      <c r="AQ75" s="148" t="s">
        <v>38</v>
      </c>
      <c r="AR75" s="73">
        <v>213.52</v>
      </c>
      <c r="AS75" s="70">
        <v>208.01</v>
      </c>
      <c r="AT75" s="29"/>
      <c r="AU75" s="32">
        <f>1.10231162684681*257</f>
        <v>283.29408809963019</v>
      </c>
      <c r="BA75" s="29" t="s">
        <v>38</v>
      </c>
      <c r="BD75" s="75">
        <v>291000</v>
      </c>
      <c r="BE75" s="29"/>
      <c r="BF75" t="s">
        <v>39</v>
      </c>
      <c r="BH75" s="75"/>
      <c r="BI75" s="75"/>
      <c r="BJ75" s="75"/>
      <c r="BK75" s="75"/>
      <c r="BL75" s="75"/>
      <c r="BM75" s="75"/>
      <c r="BN75" s="75"/>
      <c r="BO75" s="75"/>
      <c r="BP75" s="75"/>
      <c r="BQ75" s="29">
        <v>70</v>
      </c>
      <c r="BR75" s="29" t="s">
        <v>71</v>
      </c>
      <c r="BS75" t="s">
        <v>72</v>
      </c>
      <c r="BT75" t="s">
        <v>73</v>
      </c>
      <c r="CC75" s="29"/>
      <c r="CF75" t="s">
        <v>172</v>
      </c>
      <c r="CX75" s="29"/>
      <c r="CY75" t="s">
        <v>104</v>
      </c>
      <c r="DA75" s="29"/>
      <c r="DC75" t="s">
        <v>43</v>
      </c>
      <c r="DD75" s="29"/>
      <c r="DH75" s="29"/>
      <c r="DS75" s="29"/>
      <c r="DV75" t="s">
        <v>126</v>
      </c>
      <c r="EE75" s="29"/>
      <c r="EH75">
        <v>100</v>
      </c>
      <c r="EL75" s="99"/>
      <c r="EM75" s="112"/>
      <c r="EN75" s="112"/>
      <c r="EO75" s="113"/>
      <c r="EP75" s="112"/>
      <c r="EQ75" s="112"/>
      <c r="ES75" s="99">
        <v>130000</v>
      </c>
      <c r="ET75" s="111">
        <f>ES75/AI75</f>
        <v>458.88709105105289</v>
      </c>
      <c r="EV75" s="29">
        <v>0</v>
      </c>
      <c r="EW75">
        <v>10</v>
      </c>
      <c r="EX75" s="29"/>
      <c r="FI75" s="29" t="s">
        <v>38</v>
      </c>
      <c r="FL75" s="29"/>
      <c r="FN75" t="s">
        <v>154</v>
      </c>
      <c r="FR75" s="29"/>
      <c r="FT75" t="s">
        <v>160</v>
      </c>
      <c r="FX75" s="29"/>
      <c r="FZ75" t="s">
        <v>160</v>
      </c>
      <c r="GD75" s="29"/>
      <c r="GE75" s="29"/>
      <c r="GI75" s="29"/>
    </row>
    <row r="76" spans="1:191" ht="15.75">
      <c r="A76" s="295" t="s">
        <v>1032</v>
      </c>
      <c r="B76" s="29"/>
      <c r="D76" s="8"/>
      <c r="E76" s="8"/>
      <c r="F76" s="8"/>
      <c r="G76" s="8"/>
      <c r="H76" s="8"/>
      <c r="I76" s="9"/>
      <c r="J76" s="8"/>
      <c r="K76" s="20"/>
      <c r="L76" s="121">
        <v>1</v>
      </c>
      <c r="M76" s="50"/>
      <c r="N76" s="61">
        <v>1.28</v>
      </c>
      <c r="O76" s="50"/>
      <c r="Q76" s="67"/>
      <c r="AC76" s="29"/>
      <c r="AI76" s="33">
        <f t="shared" si="5"/>
        <v>367.7532049486328</v>
      </c>
      <c r="AJ76" s="119">
        <f t="shared" si="6"/>
        <v>367.7532049486328</v>
      </c>
      <c r="AK76" s="47">
        <v>333.62</v>
      </c>
      <c r="AQ76" s="148" t="s">
        <v>38</v>
      </c>
      <c r="AR76" s="73">
        <v>333.62</v>
      </c>
      <c r="AS76" s="70">
        <v>297.91000000000003</v>
      </c>
      <c r="AT76" s="29"/>
      <c r="AU76" s="32">
        <f>AI76</f>
        <v>367.7532049486328</v>
      </c>
      <c r="BA76" s="29"/>
      <c r="BD76" s="75"/>
      <c r="BE76" s="29"/>
      <c r="BH76" s="75"/>
      <c r="BI76" s="75"/>
      <c r="BJ76" s="75"/>
      <c r="BK76" s="75"/>
      <c r="BL76" s="75"/>
      <c r="BM76" s="75"/>
      <c r="BN76" s="75"/>
      <c r="BO76" s="75"/>
      <c r="BP76" s="75"/>
      <c r="BQ76" s="29"/>
      <c r="BR76" s="29"/>
      <c r="CC76" s="29"/>
      <c r="CX76" s="29"/>
      <c r="DA76" s="29"/>
      <c r="DD76" s="29"/>
      <c r="DH76" s="29"/>
      <c r="DS76" s="29"/>
      <c r="EE76" s="29"/>
      <c r="EL76" s="99"/>
      <c r="EM76" s="112"/>
      <c r="EN76" s="112"/>
      <c r="EO76" s="112"/>
      <c r="EP76" s="112"/>
      <c r="EQ76" s="112"/>
      <c r="ES76" s="99"/>
      <c r="ET76" s="111"/>
      <c r="EV76" s="29"/>
      <c r="EX76" s="29"/>
      <c r="FI76" s="29"/>
      <c r="FL76" s="29"/>
      <c r="FR76" s="29"/>
      <c r="FX76" s="29"/>
      <c r="GD76" s="29"/>
      <c r="GE76" s="29"/>
      <c r="GI76" s="29"/>
    </row>
    <row r="77" spans="1:191" ht="15.75">
      <c r="A77" s="228" t="s">
        <v>673</v>
      </c>
      <c r="B77" s="29" t="s">
        <v>627</v>
      </c>
      <c r="D77" s="5"/>
      <c r="E77" s="5" t="s">
        <v>846</v>
      </c>
      <c r="F77" s="5"/>
      <c r="G77" s="5" t="s">
        <v>847</v>
      </c>
      <c r="H77" s="5" t="s">
        <v>714</v>
      </c>
      <c r="I77" s="6" t="s">
        <v>848</v>
      </c>
      <c r="J77" s="5"/>
      <c r="K77" s="23"/>
      <c r="L77">
        <v>0.8</v>
      </c>
      <c r="M77">
        <v>0.8</v>
      </c>
      <c r="N77" s="4">
        <v>1.52</v>
      </c>
      <c r="O77">
        <v>1.52</v>
      </c>
      <c r="P77">
        <v>12000</v>
      </c>
      <c r="Q77" s="67">
        <f>L77*1000000/P77</f>
        <v>66.666666666666671</v>
      </c>
      <c r="S77" t="s">
        <v>39</v>
      </c>
      <c r="U77" t="s">
        <v>38</v>
      </c>
      <c r="W77" t="s">
        <v>421</v>
      </c>
      <c r="Y77" t="s">
        <v>39</v>
      </c>
      <c r="AC77" s="29"/>
      <c r="AD77" t="s">
        <v>45</v>
      </c>
      <c r="AF77" s="40"/>
      <c r="AI77" s="124">
        <v>4052</v>
      </c>
      <c r="AJ77" s="119">
        <f t="shared" si="6"/>
        <v>5065</v>
      </c>
      <c r="AK77" s="32">
        <f>AI77*0.907185</f>
        <v>3675.9136200000003</v>
      </c>
      <c r="AO77" s="68">
        <v>29250000</v>
      </c>
      <c r="AP77">
        <v>4</v>
      </c>
      <c r="AQ77" s="148"/>
      <c r="AR77" s="73"/>
      <c r="AS77" s="70"/>
      <c r="AT77" s="29"/>
      <c r="AU77" s="79">
        <f>AI77</f>
        <v>4052</v>
      </c>
      <c r="BA77" s="29" t="s">
        <v>38</v>
      </c>
      <c r="BD77" s="75">
        <v>8000</v>
      </c>
      <c r="BE77" s="29"/>
      <c r="BF77" t="s">
        <v>39</v>
      </c>
      <c r="BH77" s="75"/>
      <c r="BI77" s="75"/>
      <c r="BJ77" s="75"/>
      <c r="BK77" s="75"/>
      <c r="BL77" s="75"/>
      <c r="BM77" s="75"/>
      <c r="BN77" s="75"/>
      <c r="BO77" s="75"/>
      <c r="BP77" s="75"/>
      <c r="BQ77" s="29">
        <v>50</v>
      </c>
      <c r="BR77" s="29"/>
      <c r="BS77" t="s">
        <v>72</v>
      </c>
      <c r="CC77" s="29" t="s">
        <v>180</v>
      </c>
      <c r="CL77" t="s">
        <v>171</v>
      </c>
      <c r="CS77" t="s">
        <v>171</v>
      </c>
      <c r="CX77" s="29"/>
      <c r="CZ77" t="s">
        <v>105</v>
      </c>
      <c r="DA77" s="29" t="s">
        <v>106</v>
      </c>
      <c r="DD77" s="29"/>
      <c r="DH77" s="29"/>
      <c r="DS77" s="29"/>
      <c r="DY77" t="s">
        <v>129</v>
      </c>
      <c r="EE77" s="29"/>
      <c r="EH77" t="s">
        <v>422</v>
      </c>
      <c r="EL77" s="99"/>
      <c r="EM77" s="112"/>
      <c r="EN77" s="112"/>
      <c r="EO77" s="112"/>
      <c r="EP77" s="112"/>
      <c r="EQ77" s="112"/>
      <c r="ES77" s="99">
        <v>240000</v>
      </c>
      <c r="ET77" s="111">
        <f>ES77/AI77</f>
        <v>59.230009871668315</v>
      </c>
      <c r="EV77" s="29">
        <v>0</v>
      </c>
      <c r="EW77">
        <v>20</v>
      </c>
      <c r="EX77" s="29"/>
      <c r="FI77" s="29" t="s">
        <v>38</v>
      </c>
      <c r="FL77" s="29" t="s">
        <v>152</v>
      </c>
      <c r="FR77" s="29"/>
      <c r="FT77" t="s">
        <v>160</v>
      </c>
      <c r="FX77" s="29" t="s">
        <v>158</v>
      </c>
      <c r="GD77" s="29"/>
      <c r="GE77" s="29"/>
      <c r="GI77" s="29"/>
    </row>
    <row r="78" spans="1:191" ht="15.75">
      <c r="A78" s="295" t="s">
        <v>1033</v>
      </c>
      <c r="B78" s="29"/>
      <c r="D78" s="5"/>
      <c r="E78" s="5"/>
      <c r="F78" s="5"/>
      <c r="G78" s="5"/>
      <c r="H78" s="5"/>
      <c r="I78" s="6"/>
      <c r="J78" s="5"/>
      <c r="K78" s="23"/>
      <c r="L78" s="50">
        <v>0.3</v>
      </c>
      <c r="M78" s="50"/>
      <c r="N78" s="61">
        <v>0.45</v>
      </c>
      <c r="O78" s="50"/>
      <c r="Q78" s="67"/>
      <c r="AC78" s="29"/>
      <c r="AI78" s="56">
        <v>74.400000000000006</v>
      </c>
      <c r="AJ78" s="119">
        <f t="shared" si="6"/>
        <v>248.00000000000003</v>
      </c>
      <c r="AK78" s="32">
        <f>AI78*0.907185</f>
        <v>67.494564000000011</v>
      </c>
      <c r="AQ78" s="148"/>
      <c r="AR78" s="73"/>
      <c r="AS78" s="70"/>
      <c r="AT78" s="88">
        <f>AI78</f>
        <v>74.400000000000006</v>
      </c>
      <c r="AZ78" s="34" t="s">
        <v>1117</v>
      </c>
      <c r="BA78" s="29"/>
      <c r="BD78" s="75"/>
      <c r="BE78" s="29"/>
      <c r="BH78" s="75"/>
      <c r="BI78" s="75"/>
      <c r="BJ78" s="75"/>
      <c r="BK78" s="75"/>
      <c r="BL78" s="75"/>
      <c r="BM78" s="75"/>
      <c r="BN78" s="75"/>
      <c r="BO78" s="75"/>
      <c r="BP78" s="75"/>
      <c r="BQ78" s="29"/>
      <c r="BR78" s="29"/>
      <c r="CC78" s="29"/>
      <c r="CX78" s="29"/>
      <c r="DA78" s="29"/>
      <c r="DD78" s="29"/>
      <c r="DH78" s="29"/>
      <c r="DS78" s="29"/>
      <c r="EE78" s="29"/>
      <c r="EL78" s="99"/>
      <c r="EM78" s="112"/>
      <c r="EN78" s="112"/>
      <c r="EO78" s="112"/>
      <c r="EP78" s="112"/>
      <c r="EQ78" s="112"/>
      <c r="ES78" s="99"/>
      <c r="ET78" s="111"/>
      <c r="EV78" s="29"/>
      <c r="EX78" s="29"/>
      <c r="FI78" s="29"/>
      <c r="FL78" s="29"/>
      <c r="FR78" s="29"/>
      <c r="FX78" s="29"/>
      <c r="GD78" s="29"/>
      <c r="GE78" s="29"/>
      <c r="GI78" s="29"/>
    </row>
    <row r="79" spans="1:191" ht="15.75">
      <c r="A79" s="295" t="s">
        <v>1034</v>
      </c>
      <c r="B79" s="29"/>
      <c r="D79" s="5"/>
      <c r="E79" s="5"/>
      <c r="F79" s="5"/>
      <c r="G79" s="5"/>
      <c r="H79" s="5"/>
      <c r="I79" s="6"/>
      <c r="J79" s="5"/>
      <c r="K79" s="23"/>
      <c r="L79" s="50">
        <v>0.87</v>
      </c>
      <c r="M79" s="50"/>
      <c r="N79" s="61">
        <v>2.56</v>
      </c>
      <c r="O79" s="50"/>
      <c r="Q79" s="67"/>
      <c r="AC79" s="29"/>
      <c r="AI79" s="33">
        <f>1.10231162684681*AK79</f>
        <v>544.64115170874038</v>
      </c>
      <c r="AJ79" s="119">
        <f t="shared" si="6"/>
        <v>626.02431230889704</v>
      </c>
      <c r="AK79" s="47">
        <v>494.09</v>
      </c>
      <c r="AQ79" s="148" t="s">
        <v>38</v>
      </c>
      <c r="AR79" s="73">
        <v>494.09</v>
      </c>
      <c r="AS79" s="70">
        <v>491.46</v>
      </c>
      <c r="AT79" s="29"/>
      <c r="AV79" s="47">
        <f>AI79</f>
        <v>544.64115170874038</v>
      </c>
      <c r="BA79" s="29"/>
      <c r="BD79" s="75"/>
      <c r="BE79" s="29"/>
      <c r="BH79" s="75"/>
      <c r="BI79" s="75"/>
      <c r="BJ79" s="75"/>
      <c r="BK79" s="75"/>
      <c r="BL79" s="75"/>
      <c r="BM79" s="75"/>
      <c r="BN79" s="75"/>
      <c r="BO79" s="75"/>
      <c r="BP79" s="75"/>
      <c r="BQ79" s="29"/>
      <c r="BR79" s="29"/>
      <c r="CC79" s="29"/>
      <c r="CX79" s="29"/>
      <c r="DA79" s="29"/>
      <c r="DD79" s="29"/>
      <c r="DH79" s="29"/>
      <c r="DS79" s="29"/>
      <c r="EE79" s="29"/>
      <c r="EL79" s="99"/>
      <c r="EM79" s="112"/>
      <c r="EN79" s="112"/>
      <c r="EO79" s="112"/>
      <c r="EP79" s="112"/>
      <c r="EQ79" s="112"/>
      <c r="ES79" s="99"/>
      <c r="ET79" s="111"/>
      <c r="EV79" s="29"/>
      <c r="EX79" s="29"/>
      <c r="FI79" s="29"/>
      <c r="FL79" s="29"/>
      <c r="FR79" s="29"/>
      <c r="FX79" s="29"/>
      <c r="GD79" s="29"/>
      <c r="GE79" s="29"/>
      <c r="GI79" s="29"/>
    </row>
    <row r="80" spans="1:191" ht="15.75">
      <c r="A80" s="228" t="s">
        <v>1035</v>
      </c>
      <c r="B80" s="29"/>
      <c r="D80" s="5"/>
      <c r="E80" s="5"/>
      <c r="F80" s="5"/>
      <c r="G80" s="5"/>
      <c r="H80" s="5"/>
      <c r="I80" s="6"/>
      <c r="J80" s="5"/>
      <c r="K80" s="23"/>
      <c r="L80" s="50">
        <v>1.21</v>
      </c>
      <c r="M80" s="50"/>
      <c r="N80" s="61">
        <v>4</v>
      </c>
      <c r="O80" s="50"/>
      <c r="Q80" s="67"/>
      <c r="AC80" s="29"/>
      <c r="AI80" s="56">
        <v>1042.8</v>
      </c>
      <c r="AJ80" s="119">
        <f t="shared" si="6"/>
        <v>861.81818181818176</v>
      </c>
      <c r="AK80" s="32">
        <f>AI80*0.907185</f>
        <v>946.012518</v>
      </c>
      <c r="AQ80" s="148"/>
      <c r="AR80" s="73"/>
      <c r="AS80" s="70"/>
      <c r="AT80" s="29"/>
      <c r="AU80" s="34">
        <f>AI80</f>
        <v>1042.8</v>
      </c>
      <c r="AZ80" s="34" t="s">
        <v>1112</v>
      </c>
      <c r="BA80" s="29"/>
      <c r="BD80" s="75"/>
      <c r="BE80" s="29"/>
      <c r="BH80" s="75"/>
      <c r="BI80" s="75"/>
      <c r="BJ80" s="75"/>
      <c r="BK80" s="75"/>
      <c r="BL80" s="75"/>
      <c r="BM80" s="75"/>
      <c r="BN80" s="75"/>
      <c r="BO80" s="75"/>
      <c r="BP80" s="75"/>
      <c r="BQ80" s="29"/>
      <c r="BR80" s="29"/>
      <c r="CC80" s="29"/>
      <c r="CX80" s="29"/>
      <c r="DA80" s="29"/>
      <c r="DD80" s="29"/>
      <c r="DH80" s="29"/>
      <c r="DS80" s="29"/>
      <c r="EE80" s="29"/>
      <c r="EL80" s="99"/>
      <c r="EM80" s="112"/>
      <c r="EN80" s="112"/>
      <c r="EO80" s="112"/>
      <c r="EP80" s="112"/>
      <c r="EQ80" s="112"/>
      <c r="ES80" s="99"/>
      <c r="ET80" s="229"/>
      <c r="EV80" s="29"/>
      <c r="EX80" s="29"/>
      <c r="FI80" s="29"/>
      <c r="FL80" s="29"/>
      <c r="FR80" s="29"/>
      <c r="FX80" s="29"/>
      <c r="GD80" s="29"/>
      <c r="GE80" s="29"/>
      <c r="GI80" s="29"/>
    </row>
    <row r="81" spans="1:191" ht="15.75">
      <c r="A81" s="228" t="s">
        <v>1036</v>
      </c>
      <c r="B81" s="29"/>
      <c r="D81" s="5"/>
      <c r="E81" s="5"/>
      <c r="F81" s="5"/>
      <c r="G81" s="5"/>
      <c r="H81" s="5"/>
      <c r="I81" s="6"/>
      <c r="J81" s="48"/>
      <c r="K81" s="23"/>
      <c r="L81" s="50">
        <v>8.0000000000000002E-3</v>
      </c>
      <c r="M81" s="50"/>
      <c r="N81" s="61">
        <v>1.4999999999999999E-2</v>
      </c>
      <c r="O81" s="50"/>
      <c r="Q81" s="67"/>
      <c r="AC81" s="29"/>
      <c r="AI81" s="60">
        <f>AI80/L80*L81</f>
        <v>6.8945454545454545</v>
      </c>
      <c r="AJ81" s="119">
        <f t="shared" si="6"/>
        <v>861.81818181818176</v>
      </c>
      <c r="AK81" s="32">
        <f>AI81*0.907185</f>
        <v>6.2546282181818187</v>
      </c>
      <c r="AQ81" s="148"/>
      <c r="AR81" s="73"/>
      <c r="AS81" s="70"/>
      <c r="AT81" s="29"/>
      <c r="AV81" s="34">
        <f>AI81</f>
        <v>6.8945454545454545</v>
      </c>
      <c r="AZ81" s="34" t="s">
        <v>1118</v>
      </c>
      <c r="BA81" s="29"/>
      <c r="BD81" s="75"/>
      <c r="BE81" s="29"/>
      <c r="BH81" s="75"/>
      <c r="BI81" s="75"/>
      <c r="BJ81" s="75"/>
      <c r="BK81" s="75"/>
      <c r="BL81" s="75"/>
      <c r="BM81" s="75"/>
      <c r="BN81" s="75"/>
      <c r="BO81" s="75"/>
      <c r="BP81" s="75"/>
      <c r="BQ81" s="29"/>
      <c r="BR81" s="29"/>
      <c r="CC81" s="29"/>
      <c r="CX81" s="29"/>
      <c r="DA81" s="29"/>
      <c r="DD81" s="29"/>
      <c r="DH81" s="29"/>
      <c r="DS81" s="29"/>
      <c r="EE81" s="29"/>
      <c r="EL81" s="99"/>
      <c r="EM81" s="112"/>
      <c r="EN81" s="112"/>
      <c r="EO81" s="112"/>
      <c r="EP81" s="112"/>
      <c r="EQ81" s="112"/>
      <c r="ES81" s="99"/>
      <c r="ET81" s="229"/>
      <c r="EV81" s="29"/>
      <c r="EX81" s="29"/>
      <c r="FI81" s="29"/>
      <c r="FL81" s="29"/>
      <c r="FR81" s="29"/>
      <c r="FX81" s="29"/>
      <c r="GD81" s="29"/>
      <c r="GE81" s="29"/>
      <c r="GI81" s="29"/>
    </row>
    <row r="82" spans="1:191" ht="15.75">
      <c r="A82" s="228" t="s">
        <v>1037</v>
      </c>
      <c r="B82" s="29"/>
      <c r="D82" s="5"/>
      <c r="E82" s="5"/>
      <c r="F82" s="5"/>
      <c r="G82" s="5"/>
      <c r="H82" s="5"/>
      <c r="I82" s="6"/>
      <c r="J82" s="48"/>
      <c r="K82" s="23"/>
      <c r="L82" s="50">
        <v>1.3</v>
      </c>
      <c r="M82" s="50"/>
      <c r="N82" s="61">
        <v>1.83</v>
      </c>
      <c r="O82" s="50"/>
      <c r="Q82" s="67"/>
      <c r="AC82" s="29"/>
      <c r="AI82" s="56">
        <v>660</v>
      </c>
      <c r="AJ82" s="119">
        <f t="shared" si="6"/>
        <v>507.69230769230768</v>
      </c>
      <c r="AK82" s="32">
        <f>AI82*0.907185</f>
        <v>598.74210000000005</v>
      </c>
      <c r="AQ82" s="148"/>
      <c r="AR82" s="73"/>
      <c r="AS82" s="70"/>
      <c r="AT82" s="29"/>
      <c r="AU82" s="34">
        <f>AI82</f>
        <v>660</v>
      </c>
      <c r="AZ82" s="34" t="s">
        <v>1112</v>
      </c>
      <c r="BA82" s="29"/>
      <c r="BD82" s="75"/>
      <c r="BE82" s="29"/>
      <c r="BH82" s="75"/>
      <c r="BI82" s="75"/>
      <c r="BJ82" s="75"/>
      <c r="BK82" s="75"/>
      <c r="BL82" s="75"/>
      <c r="BM82" s="75"/>
      <c r="BN82" s="75"/>
      <c r="BO82" s="75"/>
      <c r="BP82" s="75"/>
      <c r="BQ82" s="29"/>
      <c r="BR82" s="29"/>
      <c r="CC82" s="29"/>
      <c r="CX82" s="29"/>
      <c r="DA82" s="29"/>
      <c r="DD82" s="29"/>
      <c r="DH82" s="29"/>
      <c r="DS82" s="29"/>
      <c r="EE82" s="29"/>
      <c r="EL82" s="99"/>
      <c r="EM82" s="112"/>
      <c r="EN82" s="112"/>
      <c r="EO82" s="112"/>
      <c r="EP82" s="112"/>
      <c r="EQ82" s="112"/>
      <c r="ES82" s="99"/>
      <c r="ET82" s="229"/>
      <c r="EV82" s="29"/>
      <c r="EX82" s="29"/>
      <c r="FI82" s="29"/>
      <c r="FL82" s="29"/>
      <c r="FR82" s="29"/>
      <c r="FX82" s="29"/>
      <c r="GD82" s="29"/>
      <c r="GE82" s="29"/>
      <c r="GI82" s="29"/>
    </row>
    <row r="83" spans="1:191" ht="15.75">
      <c r="A83" s="228" t="s">
        <v>1220</v>
      </c>
      <c r="B83" s="29" t="s">
        <v>707</v>
      </c>
      <c r="D83" s="13"/>
      <c r="E83" s="8" t="s">
        <v>747</v>
      </c>
      <c r="F83" s="8"/>
      <c r="G83" s="8" t="s">
        <v>748</v>
      </c>
      <c r="H83" s="8" t="s">
        <v>714</v>
      </c>
      <c r="I83" s="9" t="s">
        <v>749</v>
      </c>
      <c r="J83" s="128"/>
      <c r="K83" s="18"/>
      <c r="L83">
        <v>3.26</v>
      </c>
      <c r="M83">
        <v>3.26</v>
      </c>
      <c r="N83" s="4">
        <v>3.01</v>
      </c>
      <c r="O83">
        <v>3.01</v>
      </c>
      <c r="P83">
        <v>17000</v>
      </c>
      <c r="Q83" s="67">
        <f t="shared" ref="Q83:Q93" si="7">L83*1000000/P83</f>
        <v>191.76470588235293</v>
      </c>
      <c r="R83" t="s">
        <v>38</v>
      </c>
      <c r="T83" t="s">
        <v>235</v>
      </c>
      <c r="U83" t="s">
        <v>38</v>
      </c>
      <c r="W83" t="s">
        <v>236</v>
      </c>
      <c r="AA83" t="s">
        <v>43</v>
      </c>
      <c r="AB83" t="s">
        <v>237</v>
      </c>
      <c r="AC83" s="29"/>
      <c r="AD83" t="s">
        <v>45</v>
      </c>
      <c r="AI83" s="33">
        <f>1.10231162684681*AK83</f>
        <v>275.5779067117025</v>
      </c>
      <c r="AJ83" s="119">
        <f t="shared" si="6"/>
        <v>84.533100218313649</v>
      </c>
      <c r="AK83">
        <v>250</v>
      </c>
      <c r="AP83">
        <v>18</v>
      </c>
      <c r="AQ83" s="148" t="s">
        <v>38</v>
      </c>
      <c r="AR83" s="73">
        <v>243.29910000000001</v>
      </c>
      <c r="AS83" s="70">
        <v>233.11</v>
      </c>
      <c r="AT83" s="29"/>
      <c r="AW83" s="79">
        <f>AI83</f>
        <v>275.5779067117025</v>
      </c>
      <c r="BA83" s="29"/>
      <c r="BB83" t="s">
        <v>39</v>
      </c>
      <c r="BD83" s="75"/>
      <c r="BE83" s="29"/>
      <c r="BF83" t="s">
        <v>39</v>
      </c>
      <c r="BH83" s="75"/>
      <c r="BI83" s="75"/>
      <c r="BJ83" s="75"/>
      <c r="BK83" s="75"/>
      <c r="BL83" s="75"/>
      <c r="BM83" s="75"/>
      <c r="BN83" s="75"/>
      <c r="BO83" s="75"/>
      <c r="BP83" s="75"/>
      <c r="BQ83" s="29">
        <v>66</v>
      </c>
      <c r="BR83" s="29" t="s">
        <v>71</v>
      </c>
      <c r="BS83" t="s">
        <v>72</v>
      </c>
      <c r="BU83" t="s">
        <v>74</v>
      </c>
      <c r="BV83" t="s">
        <v>75</v>
      </c>
      <c r="CB83" t="s">
        <v>238</v>
      </c>
      <c r="CC83" s="29" t="s">
        <v>180</v>
      </c>
      <c r="CJ83" t="s">
        <v>196</v>
      </c>
      <c r="CR83" t="s">
        <v>170</v>
      </c>
      <c r="CX83" s="29" t="s">
        <v>103</v>
      </c>
      <c r="DA83" s="29"/>
      <c r="DC83" t="s">
        <v>43</v>
      </c>
      <c r="DD83" s="29"/>
      <c r="DH83" s="29"/>
      <c r="DR83" t="s">
        <v>122</v>
      </c>
      <c r="DS83" s="29" t="s">
        <v>123</v>
      </c>
      <c r="DZ83" t="s">
        <v>130</v>
      </c>
      <c r="ED83" t="s">
        <v>239</v>
      </c>
      <c r="EE83" s="29"/>
      <c r="EI83">
        <v>100</v>
      </c>
      <c r="EL83" s="99"/>
      <c r="EM83" s="112"/>
      <c r="EN83" s="112"/>
      <c r="EO83" s="112"/>
      <c r="EP83" s="113"/>
      <c r="EQ83" s="112"/>
      <c r="ES83" s="99">
        <v>275000</v>
      </c>
      <c r="ET83" s="229">
        <f>ES83/AI83</f>
        <v>997.90292800102054</v>
      </c>
      <c r="EV83" s="29">
        <v>25</v>
      </c>
      <c r="EW83">
        <v>40</v>
      </c>
      <c r="EX83" s="29"/>
      <c r="FH83" t="s">
        <v>240</v>
      </c>
      <c r="FI83" s="29"/>
      <c r="FJ83" t="s">
        <v>39</v>
      </c>
      <c r="FK83" t="s">
        <v>241</v>
      </c>
      <c r="FL83" s="29"/>
      <c r="FR83" s="29"/>
      <c r="FU83" t="s">
        <v>161</v>
      </c>
      <c r="FW83" s="40" t="s">
        <v>242</v>
      </c>
      <c r="FX83" s="29"/>
      <c r="GA83" t="s">
        <v>161</v>
      </c>
      <c r="GC83" t="s">
        <v>242</v>
      </c>
      <c r="GD83" s="29" t="s">
        <v>243</v>
      </c>
      <c r="GE83" s="29"/>
      <c r="GI83" s="29"/>
    </row>
    <row r="84" spans="1:191" ht="31.5">
      <c r="A84" s="228" t="s">
        <v>1219</v>
      </c>
      <c r="B84" s="29" t="s">
        <v>976</v>
      </c>
      <c r="D84" s="8"/>
      <c r="E84" s="8" t="s">
        <v>843</v>
      </c>
      <c r="F84" s="8"/>
      <c r="G84" s="8" t="s">
        <v>844</v>
      </c>
      <c r="H84" s="8" t="s">
        <v>714</v>
      </c>
      <c r="I84" s="9" t="s">
        <v>845</v>
      </c>
      <c r="J84" s="128"/>
      <c r="K84" s="20"/>
      <c r="L84" s="300">
        <v>361.5</v>
      </c>
      <c r="M84" s="300">
        <v>361.5</v>
      </c>
      <c r="N84" s="300">
        <v>361</v>
      </c>
      <c r="O84" s="300">
        <v>361</v>
      </c>
      <c r="P84">
        <v>3100000</v>
      </c>
      <c r="Q84" s="301">
        <f>L84*1000000/P84</f>
        <v>116.61290322580645</v>
      </c>
      <c r="S84" t="s">
        <v>39</v>
      </c>
      <c r="V84" t="s">
        <v>39</v>
      </c>
      <c r="X84" t="s">
        <v>38</v>
      </c>
      <c r="AB84" t="s">
        <v>540</v>
      </c>
      <c r="AC84" s="29" t="s">
        <v>44</v>
      </c>
      <c r="AI84" s="29">
        <v>34345</v>
      </c>
      <c r="AJ84" s="119">
        <f t="shared" si="6"/>
        <v>95.006915629322265</v>
      </c>
      <c r="AK84" s="32">
        <f>AI84*0.907185</f>
        <v>31157.268824999999</v>
      </c>
      <c r="AP84">
        <v>95</v>
      </c>
      <c r="AQ84" s="148" t="s">
        <v>38</v>
      </c>
      <c r="AR84" s="73">
        <v>37719</v>
      </c>
      <c r="AS84" s="70">
        <v>35107</v>
      </c>
      <c r="AT84" s="29">
        <v>34345</v>
      </c>
      <c r="BA84" s="29" t="s">
        <v>38</v>
      </c>
      <c r="BD84" s="75">
        <v>5000000</v>
      </c>
      <c r="BE84" s="29"/>
      <c r="BF84" t="s">
        <v>39</v>
      </c>
      <c r="BH84" s="75"/>
      <c r="BI84" s="75"/>
      <c r="BJ84" s="75"/>
      <c r="BK84" s="75"/>
      <c r="BL84" s="75"/>
      <c r="BM84" s="75"/>
      <c r="BN84" s="75"/>
      <c r="BO84" s="75"/>
      <c r="BP84" s="75"/>
      <c r="BQ84" s="29">
        <v>60</v>
      </c>
      <c r="BR84" s="29" t="s">
        <v>71</v>
      </c>
      <c r="BS84" t="s">
        <v>72</v>
      </c>
      <c r="BU84" t="s">
        <v>74</v>
      </c>
      <c r="BV84" t="s">
        <v>75</v>
      </c>
      <c r="BZ84" t="s">
        <v>79</v>
      </c>
      <c r="CC84" s="29"/>
      <c r="CD84" t="s">
        <v>170</v>
      </c>
      <c r="CJ84" t="s">
        <v>196</v>
      </c>
      <c r="CT84" t="s">
        <v>172</v>
      </c>
      <c r="CX84" s="29"/>
      <c r="CZ84" t="s">
        <v>105</v>
      </c>
      <c r="DA84" s="29" t="s">
        <v>106</v>
      </c>
      <c r="DB84" t="s">
        <v>107</v>
      </c>
      <c r="DD84" s="29">
        <v>100</v>
      </c>
      <c r="DH84" s="29"/>
      <c r="DO84" t="s">
        <v>119</v>
      </c>
      <c r="DS84" s="29"/>
      <c r="DV84" t="s">
        <v>126</v>
      </c>
      <c r="DZ84" t="s">
        <v>130</v>
      </c>
      <c r="EE84" s="29">
        <v>1</v>
      </c>
      <c r="EF84">
        <v>99</v>
      </c>
      <c r="EL84" s="99">
        <v>365</v>
      </c>
      <c r="EM84" s="112">
        <v>365</v>
      </c>
      <c r="EN84" s="112"/>
      <c r="EO84" s="112"/>
      <c r="EP84" s="112"/>
      <c r="EQ84" s="112"/>
      <c r="ES84" s="99">
        <v>15000000</v>
      </c>
      <c r="ET84" s="229">
        <f>ES84/AI84</f>
        <v>436.74479545785414</v>
      </c>
      <c r="EV84" s="29">
        <v>0</v>
      </c>
      <c r="EW84">
        <v>15</v>
      </c>
      <c r="EX84" s="29"/>
      <c r="FC84" t="s">
        <v>541</v>
      </c>
      <c r="FH84" t="s">
        <v>542</v>
      </c>
      <c r="FI84" s="29"/>
      <c r="FJ84" t="s">
        <v>39</v>
      </c>
      <c r="FK84" t="s">
        <v>543</v>
      </c>
      <c r="FL84" s="29"/>
      <c r="FP84" t="s">
        <v>156</v>
      </c>
      <c r="FR84" s="29"/>
      <c r="FU84" t="s">
        <v>161</v>
      </c>
      <c r="FX84" s="29"/>
      <c r="GB84" t="s">
        <v>162</v>
      </c>
      <c r="GD84" s="29"/>
      <c r="GE84" s="29"/>
      <c r="GI84" s="29"/>
    </row>
    <row r="85" spans="1:191" ht="31.5">
      <c r="A85" s="228" t="s">
        <v>674</v>
      </c>
      <c r="B85" s="29" t="s">
        <v>619</v>
      </c>
      <c r="D85" s="14"/>
      <c r="E85" s="5"/>
      <c r="F85" s="5"/>
      <c r="G85" s="5"/>
      <c r="H85" s="5"/>
      <c r="I85" s="6"/>
      <c r="J85" s="109"/>
      <c r="K85" s="19"/>
      <c r="L85">
        <v>1.3</v>
      </c>
      <c r="M85">
        <v>1.3</v>
      </c>
      <c r="N85" s="4">
        <v>4</v>
      </c>
      <c r="O85">
        <v>4</v>
      </c>
      <c r="P85" s="1">
        <v>15000</v>
      </c>
      <c r="Q85" s="67">
        <f t="shared" si="7"/>
        <v>86.666666666666671</v>
      </c>
      <c r="R85" t="s">
        <v>38</v>
      </c>
      <c r="T85" t="s">
        <v>190</v>
      </c>
      <c r="V85" t="s">
        <v>39</v>
      </c>
      <c r="Y85" t="s">
        <v>39</v>
      </c>
      <c r="AB85" t="s">
        <v>191</v>
      </c>
      <c r="AC85" s="29" t="s">
        <v>44</v>
      </c>
      <c r="AI85" s="280">
        <f>1784.83*AP85/100</f>
        <v>464.05580000000003</v>
      </c>
      <c r="AJ85" s="119">
        <f t="shared" si="6"/>
        <v>356.96600000000001</v>
      </c>
      <c r="AK85" s="32">
        <f>AI85*0.907185</f>
        <v>420.98446092300003</v>
      </c>
      <c r="AP85">
        <v>26</v>
      </c>
      <c r="AQ85" s="148"/>
      <c r="AR85" s="73"/>
      <c r="AS85" s="70"/>
      <c r="AT85" s="77">
        <v>320</v>
      </c>
      <c r="AY85" s="68"/>
      <c r="AZ85" t="s">
        <v>192</v>
      </c>
      <c r="BA85" s="29"/>
      <c r="BD85" s="75"/>
      <c r="BE85" s="29"/>
      <c r="BH85" s="75"/>
      <c r="BI85" s="75"/>
      <c r="BJ85" s="75"/>
      <c r="BK85" s="75"/>
      <c r="BL85" s="75"/>
      <c r="BM85" s="75"/>
      <c r="BN85" s="75"/>
      <c r="BO85" s="75"/>
      <c r="BP85" s="75"/>
      <c r="BQ85" s="29"/>
      <c r="BR85" s="29"/>
      <c r="CC85" s="29"/>
      <c r="CX85" s="29"/>
      <c r="DA85" s="29"/>
      <c r="DD85" s="29"/>
      <c r="DH85" s="29"/>
      <c r="DS85" s="29"/>
      <c r="EE85" s="29"/>
      <c r="EL85" s="99"/>
      <c r="EM85" s="112"/>
      <c r="EN85" s="112"/>
      <c r="EO85" s="112"/>
      <c r="EP85" s="112"/>
      <c r="EQ85" s="112"/>
      <c r="ES85" s="99"/>
      <c r="ET85" s="229"/>
      <c r="EV85" s="29"/>
      <c r="EX85" s="29"/>
      <c r="FI85" s="29"/>
      <c r="FL85" s="29"/>
      <c r="FR85" s="29"/>
      <c r="FX85" s="29"/>
      <c r="GD85" s="29"/>
      <c r="GE85" s="29"/>
      <c r="GI85" s="29"/>
    </row>
    <row r="86" spans="1:191" ht="30">
      <c r="A86" s="228" t="s">
        <v>675</v>
      </c>
      <c r="B86" s="29" t="s">
        <v>308</v>
      </c>
      <c r="D86" s="5"/>
      <c r="E86" s="5" t="s">
        <v>849</v>
      </c>
      <c r="F86" s="5"/>
      <c r="G86" s="5" t="s">
        <v>850</v>
      </c>
      <c r="H86" s="5" t="s">
        <v>851</v>
      </c>
      <c r="I86" s="6" t="s">
        <v>778</v>
      </c>
      <c r="J86" s="48"/>
      <c r="K86" s="20"/>
      <c r="L86">
        <v>24.3</v>
      </c>
      <c r="M86">
        <v>24.3</v>
      </c>
      <c r="N86" s="4">
        <v>30</v>
      </c>
      <c r="O86">
        <v>30</v>
      </c>
      <c r="P86">
        <v>90000</v>
      </c>
      <c r="Q86" s="67">
        <f t="shared" si="7"/>
        <v>270</v>
      </c>
      <c r="S86" t="s">
        <v>39</v>
      </c>
      <c r="V86" t="s">
        <v>39</v>
      </c>
      <c r="X86" t="s">
        <v>38</v>
      </c>
      <c r="AC86" s="29"/>
      <c r="AI86" s="33">
        <f>1.10231162684681*7131.87</f>
        <v>7861.5432221599594</v>
      </c>
      <c r="AJ86" s="119">
        <f t="shared" si="6"/>
        <v>323.52029720822878</v>
      </c>
      <c r="AK86" s="32">
        <f>AI86*0.907185</f>
        <v>7131.8740879951829</v>
      </c>
      <c r="AQ86" s="148" t="s">
        <v>38</v>
      </c>
      <c r="AR86" s="73">
        <v>7131.87</v>
      </c>
      <c r="AS86" s="70"/>
      <c r="AT86" s="29"/>
      <c r="AU86" s="32">
        <f>AI86</f>
        <v>7861.5432221599594</v>
      </c>
      <c r="BA86" s="29"/>
      <c r="BD86" s="75"/>
      <c r="BE86" s="29"/>
      <c r="BH86" s="75"/>
      <c r="BI86" s="75"/>
      <c r="BJ86" s="75"/>
      <c r="BK86" s="75"/>
      <c r="BL86" s="75"/>
      <c r="BM86" s="75"/>
      <c r="BN86" s="75"/>
      <c r="BO86" s="75"/>
      <c r="BP86" s="75"/>
      <c r="BQ86" s="29"/>
      <c r="BR86" s="29"/>
      <c r="CC86" s="29"/>
      <c r="CX86" s="29"/>
      <c r="DA86" s="29"/>
      <c r="DD86" s="29"/>
      <c r="DH86" s="29"/>
      <c r="DS86" s="29"/>
      <c r="EE86" s="29"/>
      <c r="EL86" s="99"/>
      <c r="EM86" s="112"/>
      <c r="EN86" s="112"/>
      <c r="EO86" s="112"/>
      <c r="EP86" s="112"/>
      <c r="EQ86" s="112"/>
      <c r="ES86" s="99"/>
      <c r="ET86" s="229"/>
      <c r="EV86" s="29"/>
      <c r="EX86" s="29"/>
      <c r="FI86" s="29"/>
      <c r="FL86" s="29"/>
      <c r="FR86" s="29"/>
      <c r="FX86" s="29"/>
      <c r="GD86" s="29"/>
      <c r="GE86" s="29"/>
      <c r="GI86" s="29"/>
    </row>
    <row r="87" spans="1:191" ht="15.75">
      <c r="A87" s="228" t="s">
        <v>676</v>
      </c>
      <c r="B87" s="29" t="s">
        <v>1001</v>
      </c>
      <c r="D87" s="5"/>
      <c r="E87" s="5" t="s">
        <v>852</v>
      </c>
      <c r="F87" s="5"/>
      <c r="G87" s="5" t="s">
        <v>853</v>
      </c>
      <c r="H87" s="5" t="s">
        <v>714</v>
      </c>
      <c r="I87" s="6" t="s">
        <v>854</v>
      </c>
      <c r="J87" s="14"/>
      <c r="K87" s="18"/>
      <c r="L87">
        <v>1.7609999999999999</v>
      </c>
      <c r="M87">
        <v>1.7609999999999999</v>
      </c>
      <c r="N87" s="4">
        <v>3.4</v>
      </c>
      <c r="O87">
        <v>3.4</v>
      </c>
      <c r="P87" s="40">
        <v>17000</v>
      </c>
      <c r="Q87" s="67">
        <f t="shared" si="7"/>
        <v>103.58823529411765</v>
      </c>
      <c r="S87" t="s">
        <v>39</v>
      </c>
      <c r="V87" t="s">
        <v>39</v>
      </c>
      <c r="X87" t="s">
        <v>38</v>
      </c>
      <c r="AC87" s="29"/>
      <c r="AD87" t="s">
        <v>45</v>
      </c>
      <c r="AI87" s="33">
        <f>1.10231162684681*AK87</f>
        <v>738.54878998736274</v>
      </c>
      <c r="AJ87" s="119">
        <f t="shared" si="6"/>
        <v>419.39170357033663</v>
      </c>
      <c r="AK87">
        <v>670</v>
      </c>
      <c r="AP87">
        <v>22</v>
      </c>
      <c r="AQ87" s="148" t="s">
        <v>38</v>
      </c>
      <c r="AR87" s="73">
        <v>596</v>
      </c>
      <c r="AS87" s="70"/>
      <c r="AT87" s="85">
        <f>AI87</f>
        <v>738.54878998736274</v>
      </c>
      <c r="AY87" s="68"/>
      <c r="BA87" s="35" t="s">
        <v>38</v>
      </c>
      <c r="BD87" s="75">
        <v>320000</v>
      </c>
      <c r="BE87" s="29"/>
      <c r="BF87" t="s">
        <v>39</v>
      </c>
      <c r="BH87" s="75"/>
      <c r="BI87" s="75"/>
      <c r="BJ87" s="75"/>
      <c r="BK87" s="75"/>
      <c r="BL87" s="75"/>
      <c r="BM87" s="75"/>
      <c r="BN87" s="75"/>
      <c r="BO87" s="75"/>
      <c r="BP87" s="75"/>
      <c r="BQ87" s="29">
        <v>40</v>
      </c>
      <c r="BR87" s="29" t="s">
        <v>71</v>
      </c>
      <c r="BT87" t="s">
        <v>73</v>
      </c>
      <c r="CC87" s="29"/>
      <c r="CD87" t="s">
        <v>170</v>
      </c>
      <c r="CK87" t="s">
        <v>170</v>
      </c>
      <c r="CX87" s="29"/>
      <c r="CZ87" t="s">
        <v>105</v>
      </c>
      <c r="DA87" s="29"/>
      <c r="DC87" t="s">
        <v>43</v>
      </c>
      <c r="DD87" s="29"/>
      <c r="DG87">
        <v>100</v>
      </c>
      <c r="DH87" s="29"/>
      <c r="DR87" t="s">
        <v>122</v>
      </c>
      <c r="DS87" s="29"/>
      <c r="DU87" t="s">
        <v>125</v>
      </c>
      <c r="EC87" t="s">
        <v>204</v>
      </c>
      <c r="EE87" s="29">
        <v>100</v>
      </c>
      <c r="EL87" s="99">
        <v>73.75</v>
      </c>
      <c r="EM87" s="112"/>
      <c r="EN87" s="112"/>
      <c r="EO87" s="112"/>
      <c r="EP87" s="112"/>
      <c r="EQ87" s="112"/>
      <c r="ES87" s="99">
        <v>235786</v>
      </c>
      <c r="ET87" s="229">
        <f t="shared" ref="ET87:ET93" si="8">ES87/AI87</f>
        <v>319.25582059925182</v>
      </c>
      <c r="EV87" s="29">
        <v>10</v>
      </c>
      <c r="EW87">
        <v>20</v>
      </c>
      <c r="EX87" s="29"/>
      <c r="FH87" t="s">
        <v>221</v>
      </c>
      <c r="FI87" s="29"/>
      <c r="FJ87" t="s">
        <v>39</v>
      </c>
      <c r="FK87" t="s">
        <v>1010</v>
      </c>
      <c r="FL87" s="29"/>
      <c r="FP87" t="s">
        <v>156</v>
      </c>
      <c r="FR87" s="29"/>
      <c r="FV87" t="s">
        <v>162</v>
      </c>
      <c r="FX87" s="29"/>
      <c r="GB87" t="s">
        <v>162</v>
      </c>
      <c r="GD87" s="29"/>
      <c r="GE87" s="29"/>
      <c r="GI87" s="29"/>
    </row>
    <row r="88" spans="1:191" ht="45">
      <c r="A88" s="228" t="s">
        <v>677</v>
      </c>
      <c r="B88" s="29" t="s">
        <v>249</v>
      </c>
      <c r="D88" s="5"/>
      <c r="E88" s="5" t="s">
        <v>855</v>
      </c>
      <c r="F88" s="5"/>
      <c r="G88" s="5" t="s">
        <v>856</v>
      </c>
      <c r="H88" s="5" t="s">
        <v>714</v>
      </c>
      <c r="I88" s="6" t="s">
        <v>857</v>
      </c>
      <c r="J88" s="14"/>
      <c r="K88" s="20"/>
      <c r="L88">
        <v>4.2</v>
      </c>
      <c r="M88">
        <v>4.2</v>
      </c>
      <c r="N88" s="4">
        <v>4.5999999999999996</v>
      </c>
      <c r="O88">
        <v>4.5999999999999996</v>
      </c>
      <c r="P88">
        <v>30000</v>
      </c>
      <c r="Q88" s="67">
        <f t="shared" si="7"/>
        <v>140</v>
      </c>
      <c r="R88" t="s">
        <v>38</v>
      </c>
      <c r="T88" t="s">
        <v>250</v>
      </c>
      <c r="U88" t="s">
        <v>38</v>
      </c>
      <c r="W88" t="s">
        <v>251</v>
      </c>
      <c r="X88" t="s">
        <v>38</v>
      </c>
      <c r="AC88" s="29" t="s">
        <v>44</v>
      </c>
      <c r="AI88" s="29">
        <v>767</v>
      </c>
      <c r="AJ88" s="119">
        <f t="shared" si="6"/>
        <v>182.61904761904762</v>
      </c>
      <c r="AK88" s="32">
        <f>AI88*0.907185</f>
        <v>695.81089499999996</v>
      </c>
      <c r="AP88">
        <v>4</v>
      </c>
      <c r="AQ88" s="148"/>
      <c r="AR88" s="73"/>
      <c r="AS88" s="70"/>
      <c r="AT88" s="29"/>
      <c r="AU88">
        <v>767</v>
      </c>
      <c r="BA88" s="29" t="s">
        <v>38</v>
      </c>
      <c r="BC88" t="s">
        <v>252</v>
      </c>
      <c r="BD88" s="75">
        <v>895600</v>
      </c>
      <c r="BE88" s="29"/>
      <c r="BF88" t="s">
        <v>39</v>
      </c>
      <c r="BH88" s="75"/>
      <c r="BI88" s="75"/>
      <c r="BJ88" s="75"/>
      <c r="BK88" s="75"/>
      <c r="BL88" s="75"/>
      <c r="BM88" s="75"/>
      <c r="BN88" s="75"/>
      <c r="BO88" s="75"/>
      <c r="BP88" s="75"/>
      <c r="BQ88" s="29">
        <v>51</v>
      </c>
      <c r="BR88" s="29"/>
      <c r="CB88" t="s">
        <v>253</v>
      </c>
      <c r="CC88" s="29"/>
      <c r="CI88" t="s">
        <v>203</v>
      </c>
      <c r="CP88" t="s">
        <v>203</v>
      </c>
      <c r="CW88" t="s">
        <v>203</v>
      </c>
      <c r="CX88" s="29"/>
      <c r="CZ88" t="s">
        <v>105</v>
      </c>
      <c r="DA88" s="29"/>
      <c r="DC88" t="s">
        <v>43</v>
      </c>
      <c r="DD88" s="29"/>
      <c r="DH88" s="29"/>
      <c r="DS88" s="29"/>
      <c r="EB88" t="s">
        <v>132</v>
      </c>
      <c r="EE88" s="29"/>
      <c r="EH88">
        <v>100</v>
      </c>
      <c r="EL88" s="99"/>
      <c r="EM88" s="112"/>
      <c r="EN88" s="112"/>
      <c r="EO88" s="113"/>
      <c r="EP88" s="112"/>
      <c r="EQ88" s="112"/>
      <c r="ES88" s="99">
        <v>435780</v>
      </c>
      <c r="ET88" s="229">
        <f t="shared" si="8"/>
        <v>568.1616688396349</v>
      </c>
      <c r="EV88" s="29">
        <v>0</v>
      </c>
      <c r="EW88">
        <v>50</v>
      </c>
      <c r="EX88" s="29"/>
      <c r="FI88" s="29" t="s">
        <v>38</v>
      </c>
      <c r="FL88" s="29"/>
      <c r="FN88" t="s">
        <v>154</v>
      </c>
      <c r="FR88" s="29"/>
      <c r="FV88" t="s">
        <v>162</v>
      </c>
      <c r="FX88" s="29"/>
      <c r="FY88" t="s">
        <v>159</v>
      </c>
      <c r="GD88" s="29"/>
      <c r="GE88" s="29"/>
      <c r="GI88" s="29"/>
    </row>
    <row r="89" spans="1:191" ht="45">
      <c r="A89" s="228" t="s">
        <v>678</v>
      </c>
      <c r="B89" s="29" t="s">
        <v>484</v>
      </c>
      <c r="D89" s="5"/>
      <c r="E89" s="5" t="s">
        <v>858</v>
      </c>
      <c r="F89" s="5"/>
      <c r="G89" s="5" t="s">
        <v>859</v>
      </c>
      <c r="H89" s="5" t="s">
        <v>714</v>
      </c>
      <c r="I89" s="6" t="s">
        <v>860</v>
      </c>
      <c r="J89" s="5"/>
      <c r="K89" s="20"/>
      <c r="L89">
        <v>0.41799999999999998</v>
      </c>
      <c r="M89">
        <v>0.41799999999999998</v>
      </c>
      <c r="N89" s="4">
        <v>0.76</v>
      </c>
      <c r="O89">
        <v>0.76</v>
      </c>
      <c r="P89">
        <v>1800</v>
      </c>
      <c r="Q89" s="67">
        <f t="shared" si="7"/>
        <v>232.22222222222223</v>
      </c>
      <c r="R89" t="s">
        <v>38</v>
      </c>
      <c r="T89" t="s">
        <v>485</v>
      </c>
      <c r="U89" t="s">
        <v>38</v>
      </c>
      <c r="W89" t="s">
        <v>486</v>
      </c>
      <c r="Y89" t="s">
        <v>39</v>
      </c>
      <c r="AC89" s="29"/>
      <c r="AD89" t="s">
        <v>45</v>
      </c>
      <c r="AI89" s="33">
        <f>1.10231162684681*AK89</f>
        <v>142.1981998632385</v>
      </c>
      <c r="AJ89" s="119">
        <f t="shared" si="6"/>
        <v>340.1870810125323</v>
      </c>
      <c r="AK89">
        <v>129</v>
      </c>
      <c r="AP89">
        <v>15</v>
      </c>
      <c r="AQ89" s="148" t="s">
        <v>38</v>
      </c>
      <c r="AR89" s="73">
        <v>126.08</v>
      </c>
      <c r="AS89" s="70"/>
      <c r="AT89" s="29"/>
      <c r="AU89" s="32">
        <f>1.10231162684681*129</f>
        <v>142.1981998632385</v>
      </c>
      <c r="AZ89" t="s">
        <v>487</v>
      </c>
      <c r="BA89" s="29" t="s">
        <v>38</v>
      </c>
      <c r="BD89" s="75">
        <v>3870200</v>
      </c>
      <c r="BE89" s="29"/>
      <c r="BF89" t="s">
        <v>39</v>
      </c>
      <c r="BH89" s="75"/>
      <c r="BI89" s="75"/>
      <c r="BJ89" s="75"/>
      <c r="BK89" s="75"/>
      <c r="BL89" s="75"/>
      <c r="BM89" s="75"/>
      <c r="BN89" s="75"/>
      <c r="BO89" s="75"/>
      <c r="BP89" s="75"/>
      <c r="BQ89" s="29">
        <v>0</v>
      </c>
      <c r="BR89" s="29"/>
      <c r="BS89" t="s">
        <v>72</v>
      </c>
      <c r="CC89" s="29" t="s">
        <v>180</v>
      </c>
      <c r="CN89" t="s">
        <v>187</v>
      </c>
      <c r="CQ89" t="s">
        <v>181</v>
      </c>
      <c r="CX89" s="29"/>
      <c r="CY89" t="s">
        <v>104</v>
      </c>
      <c r="DA89" s="29" t="s">
        <v>106</v>
      </c>
      <c r="DD89" s="29"/>
      <c r="DG89">
        <v>100</v>
      </c>
      <c r="DH89" s="29"/>
      <c r="DR89" t="s">
        <v>122</v>
      </c>
      <c r="DS89" s="29" t="s">
        <v>123</v>
      </c>
      <c r="EE89" s="29"/>
      <c r="EH89">
        <v>100</v>
      </c>
      <c r="EL89" s="99"/>
      <c r="EM89" s="112"/>
      <c r="EN89" s="112"/>
      <c r="EO89" s="112">
        <v>114</v>
      </c>
      <c r="EP89" s="112"/>
      <c r="EQ89" s="112"/>
      <c r="ES89" s="99">
        <v>83155</v>
      </c>
      <c r="ET89" s="229">
        <f t="shared" si="8"/>
        <v>584.78236770912508</v>
      </c>
      <c r="EV89" s="29">
        <v>25</v>
      </c>
      <c r="EW89">
        <v>50</v>
      </c>
      <c r="EX89" s="29"/>
      <c r="FA89" t="s">
        <v>488</v>
      </c>
      <c r="FB89" t="s">
        <v>489</v>
      </c>
      <c r="FE89" t="s">
        <v>490</v>
      </c>
      <c r="FI89" s="29" t="s">
        <v>38</v>
      </c>
      <c r="FL89" s="29"/>
      <c r="FO89" t="s">
        <v>155</v>
      </c>
      <c r="FQ89" t="s">
        <v>491</v>
      </c>
      <c r="FR89" s="29"/>
      <c r="FT89" t="s">
        <v>160</v>
      </c>
      <c r="FW89" s="40" t="s">
        <v>492</v>
      </c>
      <c r="FX89" s="29"/>
      <c r="FZ89" t="s">
        <v>160</v>
      </c>
      <c r="GC89" t="s">
        <v>493</v>
      </c>
      <c r="GD89" s="29"/>
      <c r="GE89" s="29"/>
      <c r="GI89" s="29" t="s">
        <v>254</v>
      </c>
    </row>
    <row r="90" spans="1:191" ht="15.75">
      <c r="A90" s="228" t="s">
        <v>679</v>
      </c>
      <c r="B90" s="29" t="s">
        <v>710</v>
      </c>
      <c r="D90" s="5"/>
      <c r="E90" s="5" t="s">
        <v>861</v>
      </c>
      <c r="F90" s="5"/>
      <c r="G90" s="5" t="s">
        <v>862</v>
      </c>
      <c r="H90" s="5" t="s">
        <v>714</v>
      </c>
      <c r="I90" s="6" t="s">
        <v>863</v>
      </c>
      <c r="J90" s="5"/>
      <c r="K90" s="20"/>
      <c r="L90">
        <v>4.37</v>
      </c>
      <c r="M90">
        <v>4.37</v>
      </c>
      <c r="N90" s="4">
        <v>8.6</v>
      </c>
      <c r="O90">
        <v>8.6</v>
      </c>
      <c r="P90">
        <v>28000</v>
      </c>
      <c r="Q90" s="67">
        <f t="shared" si="7"/>
        <v>156.07142857142858</v>
      </c>
      <c r="R90" t="s">
        <v>38</v>
      </c>
      <c r="T90" t="s">
        <v>502</v>
      </c>
      <c r="V90" t="s">
        <v>39</v>
      </c>
      <c r="X90" t="s">
        <v>38</v>
      </c>
      <c r="AB90" t="s">
        <v>503</v>
      </c>
      <c r="AC90" s="29"/>
      <c r="AD90" t="s">
        <v>45</v>
      </c>
      <c r="AI90" s="33">
        <f>1.10231162684681*AK90</f>
        <v>1103.4139384736568</v>
      </c>
      <c r="AJ90" s="119">
        <f t="shared" si="6"/>
        <v>252.49746875827387</v>
      </c>
      <c r="AK90">
        <v>1001</v>
      </c>
      <c r="AP90">
        <v>22</v>
      </c>
      <c r="AQ90" s="148" t="s">
        <v>38</v>
      </c>
      <c r="AR90" s="73">
        <v>1012.57</v>
      </c>
      <c r="AS90" s="70">
        <v>966.5</v>
      </c>
      <c r="AT90" s="29"/>
      <c r="AU90" s="32">
        <f>1.10231162684681*1001</f>
        <v>1103.4139384736568</v>
      </c>
      <c r="BA90" s="29" t="s">
        <v>38</v>
      </c>
      <c r="BD90" s="75">
        <v>698000</v>
      </c>
      <c r="BE90" s="29" t="s">
        <v>38</v>
      </c>
      <c r="BG90" t="s">
        <v>504</v>
      </c>
      <c r="BH90" s="75"/>
      <c r="BI90" s="75">
        <v>546000</v>
      </c>
      <c r="BJ90" s="75"/>
      <c r="BK90" s="75"/>
      <c r="BL90" s="75"/>
      <c r="BM90" s="75"/>
      <c r="BN90" s="75"/>
      <c r="BO90" s="75"/>
      <c r="BP90" s="75" t="s">
        <v>505</v>
      </c>
      <c r="BQ90" s="29">
        <v>60</v>
      </c>
      <c r="BR90" s="29"/>
      <c r="BS90" t="s">
        <v>72</v>
      </c>
      <c r="CC90" s="29"/>
      <c r="CD90" t="s">
        <v>170</v>
      </c>
      <c r="CK90" t="s">
        <v>170</v>
      </c>
      <c r="CR90" t="s">
        <v>170</v>
      </c>
      <c r="CX90" s="29"/>
      <c r="CY90" t="s">
        <v>104</v>
      </c>
      <c r="DA90" s="29" t="s">
        <v>106</v>
      </c>
      <c r="DD90" s="29"/>
      <c r="DG90">
        <v>100</v>
      </c>
      <c r="DH90" s="29"/>
      <c r="DR90" t="s">
        <v>122</v>
      </c>
      <c r="DS90" s="29" t="s">
        <v>123</v>
      </c>
      <c r="DZ90" t="s">
        <v>130</v>
      </c>
      <c r="EE90" s="29"/>
      <c r="EH90">
        <v>100</v>
      </c>
      <c r="EL90" s="99"/>
      <c r="EM90" s="112"/>
      <c r="EN90" s="112"/>
      <c r="EO90" s="112">
        <v>82.71</v>
      </c>
      <c r="EP90" s="112"/>
      <c r="EQ90" s="112"/>
      <c r="ES90" s="99">
        <v>350600</v>
      </c>
      <c r="ET90" s="229">
        <f t="shared" si="8"/>
        <v>317.74113755077451</v>
      </c>
      <c r="EV90" s="29">
        <v>20</v>
      </c>
      <c r="EW90">
        <v>87</v>
      </c>
      <c r="EX90" s="29"/>
      <c r="FA90" t="s">
        <v>506</v>
      </c>
      <c r="FC90" t="s">
        <v>305</v>
      </c>
      <c r="FF90" t="s">
        <v>456</v>
      </c>
      <c r="FH90" t="s">
        <v>1307</v>
      </c>
      <c r="FI90" s="29" t="s">
        <v>38</v>
      </c>
      <c r="FL90" s="29"/>
      <c r="FM90" t="s">
        <v>153</v>
      </c>
      <c r="FQ90" t="s">
        <v>507</v>
      </c>
      <c r="FR90" s="29"/>
      <c r="FT90" t="s">
        <v>160</v>
      </c>
      <c r="FW90" s="40" t="s">
        <v>508</v>
      </c>
      <c r="FX90" s="29" t="s">
        <v>158</v>
      </c>
      <c r="GC90" t="s">
        <v>509</v>
      </c>
      <c r="GD90" s="29"/>
      <c r="GE90" s="29"/>
      <c r="GI90" s="29"/>
    </row>
    <row r="91" spans="1:191" ht="30">
      <c r="A91" s="228" t="s">
        <v>680</v>
      </c>
      <c r="B91" s="29" t="s">
        <v>632</v>
      </c>
      <c r="D91" s="5"/>
      <c r="E91" s="5" t="s">
        <v>864</v>
      </c>
      <c r="F91" s="5"/>
      <c r="G91" s="5" t="s">
        <v>865</v>
      </c>
      <c r="H91" s="5" t="s">
        <v>714</v>
      </c>
      <c r="I91" s="6" t="s">
        <v>866</v>
      </c>
      <c r="J91" s="5"/>
      <c r="K91" s="20"/>
      <c r="L91">
        <v>1.2</v>
      </c>
      <c r="M91">
        <v>1.2</v>
      </c>
      <c r="N91" s="4">
        <v>2</v>
      </c>
      <c r="O91">
        <v>2</v>
      </c>
      <c r="P91">
        <v>7000</v>
      </c>
      <c r="Q91" s="67">
        <f t="shared" si="7"/>
        <v>171.42857142857142</v>
      </c>
      <c r="R91" t="s">
        <v>38</v>
      </c>
      <c r="T91" t="s">
        <v>339</v>
      </c>
      <c r="U91" t="s">
        <v>38</v>
      </c>
      <c r="W91" t="s">
        <v>539</v>
      </c>
      <c r="Y91" t="s">
        <v>39</v>
      </c>
      <c r="AC91" s="29" t="s">
        <v>44</v>
      </c>
      <c r="AI91" s="29">
        <v>386</v>
      </c>
      <c r="AJ91" s="119">
        <f t="shared" si="6"/>
        <v>321.66666666666669</v>
      </c>
      <c r="AK91" s="32">
        <f>AI91*0.907185</f>
        <v>350.17340999999999</v>
      </c>
      <c r="AP91">
        <v>3</v>
      </c>
      <c r="AQ91" s="148"/>
      <c r="AR91" s="73"/>
      <c r="AS91" s="70"/>
      <c r="AT91" s="29"/>
      <c r="AU91">
        <v>386</v>
      </c>
      <c r="BA91" s="29"/>
      <c r="BB91" t="s">
        <v>39</v>
      </c>
      <c r="BD91" s="75"/>
      <c r="BE91" s="29"/>
      <c r="BF91" t="s">
        <v>39</v>
      </c>
      <c r="BH91" s="75"/>
      <c r="BI91" s="75"/>
      <c r="BJ91" s="75"/>
      <c r="BK91" s="75"/>
      <c r="BL91" s="75"/>
      <c r="BM91" s="75"/>
      <c r="BN91" s="75"/>
      <c r="BO91" s="75"/>
      <c r="BP91" s="75"/>
      <c r="BQ91" s="29">
        <v>65</v>
      </c>
      <c r="BR91" s="29"/>
      <c r="BS91" t="s">
        <v>72</v>
      </c>
      <c r="CC91" s="29"/>
      <c r="CD91" t="s">
        <v>170</v>
      </c>
      <c r="CK91" t="s">
        <v>170</v>
      </c>
      <c r="CQ91" t="s">
        <v>181</v>
      </c>
      <c r="CX91" s="29"/>
      <c r="CZ91" t="s">
        <v>105</v>
      </c>
      <c r="DA91" s="29" t="s">
        <v>106</v>
      </c>
      <c r="DD91" s="29"/>
      <c r="DH91" s="29" t="s">
        <v>112</v>
      </c>
      <c r="DS91" s="29"/>
      <c r="DZ91" t="s">
        <v>130</v>
      </c>
      <c r="EE91" s="29"/>
      <c r="EH91">
        <v>100</v>
      </c>
      <c r="EL91" s="99"/>
      <c r="EM91" s="112"/>
      <c r="EN91" s="112"/>
      <c r="EO91" s="112">
        <v>230</v>
      </c>
      <c r="EP91" s="112"/>
      <c r="EQ91" s="112"/>
      <c r="ES91" s="99">
        <v>180000</v>
      </c>
      <c r="ET91" s="229">
        <f t="shared" si="8"/>
        <v>466.32124352331607</v>
      </c>
      <c r="EV91" s="29">
        <v>20</v>
      </c>
      <c r="EW91">
        <v>20</v>
      </c>
      <c r="EX91" s="29"/>
      <c r="FI91" s="29"/>
      <c r="FJ91" t="s">
        <v>39</v>
      </c>
      <c r="FL91" s="29"/>
      <c r="FR91" s="29"/>
      <c r="FV91" t="s">
        <v>162</v>
      </c>
      <c r="FX91" s="29"/>
      <c r="GB91" t="s">
        <v>162</v>
      </c>
      <c r="GD91" s="29"/>
      <c r="GE91" s="29"/>
      <c r="GI91" s="29"/>
    </row>
    <row r="92" spans="1:191" ht="15.75">
      <c r="A92" s="228" t="s">
        <v>681</v>
      </c>
      <c r="B92" s="29" t="s">
        <v>214</v>
      </c>
      <c r="D92" s="13"/>
      <c r="E92" s="5" t="s">
        <v>867</v>
      </c>
      <c r="F92" s="5"/>
      <c r="G92" s="5" t="s">
        <v>868</v>
      </c>
      <c r="H92" s="5" t="s">
        <v>714</v>
      </c>
      <c r="I92" s="6" t="s">
        <v>869</v>
      </c>
      <c r="J92" s="14"/>
      <c r="K92" s="21"/>
      <c r="L92">
        <v>0.11700000000000001</v>
      </c>
      <c r="M92">
        <v>0.11700000000000001</v>
      </c>
      <c r="N92" s="4">
        <v>0.27500000000000002</v>
      </c>
      <c r="O92">
        <v>0.27500000000000002</v>
      </c>
      <c r="P92">
        <v>281</v>
      </c>
      <c r="Q92" s="67">
        <f t="shared" si="7"/>
        <v>416.37010676156586</v>
      </c>
      <c r="S92" t="s">
        <v>39</v>
      </c>
      <c r="V92" t="s">
        <v>39</v>
      </c>
      <c r="Y92" t="s">
        <v>39</v>
      </c>
      <c r="AC92" s="29"/>
      <c r="AE92" t="s">
        <v>46</v>
      </c>
      <c r="AI92" s="33">
        <f>AL92*AP92/100</f>
        <v>1.5</v>
      </c>
      <c r="AJ92" s="119">
        <f t="shared" si="6"/>
        <v>12.820512820512819</v>
      </c>
      <c r="AK92" s="32">
        <f>AI92*0.907185</f>
        <v>1.3607775</v>
      </c>
      <c r="AL92">
        <v>75</v>
      </c>
      <c r="AP92">
        <v>2</v>
      </c>
      <c r="AQ92" s="148" t="s">
        <v>38</v>
      </c>
      <c r="AR92" s="73"/>
      <c r="AS92" s="70">
        <v>4.8</v>
      </c>
      <c r="AT92" s="29"/>
      <c r="AU92" s="32">
        <f>AI92</f>
        <v>1.5</v>
      </c>
      <c r="AZ92" t="s">
        <v>215</v>
      </c>
      <c r="BA92" s="29"/>
      <c r="BB92" t="s">
        <v>39</v>
      </c>
      <c r="BD92" s="75">
        <v>0</v>
      </c>
      <c r="BE92" s="29"/>
      <c r="BF92" t="s">
        <v>39</v>
      </c>
      <c r="BH92" s="75"/>
      <c r="BI92" s="75"/>
      <c r="BJ92" s="75"/>
      <c r="BK92" s="75"/>
      <c r="BL92" s="75"/>
      <c r="BM92" s="75"/>
      <c r="BN92" s="75"/>
      <c r="BO92" s="75"/>
      <c r="BP92" s="75"/>
      <c r="BQ92" s="29"/>
      <c r="BR92" s="29"/>
      <c r="CB92" t="s">
        <v>216</v>
      </c>
      <c r="CC92" s="29"/>
      <c r="CJ92" t="s">
        <v>196</v>
      </c>
      <c r="CX92" s="29"/>
      <c r="CY92" t="s">
        <v>104</v>
      </c>
      <c r="DA92" s="29"/>
      <c r="DC92" t="s">
        <v>43</v>
      </c>
      <c r="DD92" s="29"/>
      <c r="DG92">
        <v>100</v>
      </c>
      <c r="DH92" s="29"/>
      <c r="DR92" t="s">
        <v>122</v>
      </c>
      <c r="DS92" s="29"/>
      <c r="EC92" t="s">
        <v>216</v>
      </c>
      <c r="ED92" t="s">
        <v>216</v>
      </c>
      <c r="EE92" s="29"/>
      <c r="EH92">
        <v>100</v>
      </c>
      <c r="EL92" s="99"/>
      <c r="EM92" s="112"/>
      <c r="EN92" s="112"/>
      <c r="EO92" s="112"/>
      <c r="EP92" s="112"/>
      <c r="EQ92" s="112"/>
      <c r="ES92" s="99">
        <v>2000</v>
      </c>
      <c r="ET92" s="229">
        <f t="shared" si="8"/>
        <v>1333.3333333333333</v>
      </c>
      <c r="EU92" t="s">
        <v>217</v>
      </c>
      <c r="EV92" s="29">
        <v>50</v>
      </c>
      <c r="EW92">
        <v>100</v>
      </c>
      <c r="EX92" s="29"/>
      <c r="FD92" t="s">
        <v>219</v>
      </c>
      <c r="FE92" t="s">
        <v>220</v>
      </c>
      <c r="FI92" s="29" t="s">
        <v>38</v>
      </c>
      <c r="FL92" s="29" t="s">
        <v>152</v>
      </c>
      <c r="FR92" s="29" t="s">
        <v>158</v>
      </c>
      <c r="FX92" s="29" t="s">
        <v>158</v>
      </c>
      <c r="GD92" s="29" t="s">
        <v>222</v>
      </c>
      <c r="GE92" s="29"/>
      <c r="GI92" s="29"/>
    </row>
    <row r="93" spans="1:191" ht="15.75">
      <c r="A93" s="228" t="s">
        <v>682</v>
      </c>
      <c r="B93" s="29" t="s">
        <v>624</v>
      </c>
      <c r="D93" s="5"/>
      <c r="E93" s="5" t="s">
        <v>870</v>
      </c>
      <c r="F93" s="5"/>
      <c r="G93" s="5" t="s">
        <v>871</v>
      </c>
      <c r="H93" s="5" t="s">
        <v>714</v>
      </c>
      <c r="I93" s="6" t="s">
        <v>872</v>
      </c>
      <c r="J93" s="14"/>
      <c r="K93" s="21"/>
      <c r="L93">
        <v>8.6999999999999994E-2</v>
      </c>
      <c r="M93">
        <v>8.6999999999999994E-2</v>
      </c>
      <c r="N93" s="4">
        <v>0.37</v>
      </c>
      <c r="O93">
        <v>0.37</v>
      </c>
      <c r="P93">
        <v>740</v>
      </c>
      <c r="Q93" s="67">
        <f t="shared" si="7"/>
        <v>117.56756756756756</v>
      </c>
      <c r="R93" t="s">
        <v>38</v>
      </c>
      <c r="T93" t="s">
        <v>327</v>
      </c>
      <c r="V93" t="s">
        <v>39</v>
      </c>
      <c r="Y93" t="s">
        <v>39</v>
      </c>
      <c r="AC93" s="29"/>
      <c r="AH93" t="s">
        <v>49</v>
      </c>
      <c r="AI93" s="33">
        <f>8.35/2000*AP93/100*AO93</f>
        <v>86.422499999999985</v>
      </c>
      <c r="AJ93" s="119">
        <f t="shared" si="6"/>
        <v>993.3620689655171</v>
      </c>
      <c r="AK93" s="32">
        <f>AI93*0.907185</f>
        <v>78.401195662499987</v>
      </c>
      <c r="AO93">
        <v>414000</v>
      </c>
      <c r="AP93">
        <v>5</v>
      </c>
      <c r="AQ93" s="148"/>
      <c r="AR93" s="73"/>
      <c r="AS93" s="70"/>
      <c r="AT93" s="29"/>
      <c r="AU93" s="32">
        <f>AI93</f>
        <v>86.422499999999985</v>
      </c>
      <c r="BA93" s="29"/>
      <c r="BB93" t="s">
        <v>39</v>
      </c>
      <c r="BD93" s="75">
        <v>0</v>
      </c>
      <c r="BE93" s="29"/>
      <c r="BF93" t="s">
        <v>39</v>
      </c>
      <c r="BH93" s="75"/>
      <c r="BI93" s="75"/>
      <c r="BJ93" s="75"/>
      <c r="BK93" s="75"/>
      <c r="BL93" s="75"/>
      <c r="BM93" s="75"/>
      <c r="BN93" s="75"/>
      <c r="BO93" s="75"/>
      <c r="BP93" s="75"/>
      <c r="BQ93" s="29">
        <v>15</v>
      </c>
      <c r="BR93" s="29"/>
      <c r="CC93" s="29"/>
      <c r="CX93" s="29"/>
      <c r="CY93" t="s">
        <v>104</v>
      </c>
      <c r="DA93" s="29" t="s">
        <v>106</v>
      </c>
      <c r="DD93" s="29"/>
      <c r="DH93" s="29"/>
      <c r="DS93" s="29"/>
      <c r="EB93" t="s">
        <v>132</v>
      </c>
      <c r="EE93" s="29"/>
      <c r="EH93">
        <v>100</v>
      </c>
      <c r="EL93" s="99"/>
      <c r="EM93" s="112"/>
      <c r="EN93" s="112"/>
      <c r="EO93" s="112"/>
      <c r="EP93" s="113">
        <f>286*0.78</f>
        <v>223.08</v>
      </c>
      <c r="EQ93" s="112"/>
      <c r="ER93" s="68" t="s">
        <v>328</v>
      </c>
      <c r="ES93" s="101">
        <v>76000</v>
      </c>
      <c r="ET93" s="229">
        <f t="shared" si="8"/>
        <v>879.40061905175173</v>
      </c>
      <c r="EV93" s="29">
        <v>20</v>
      </c>
      <c r="EW93">
        <v>15</v>
      </c>
      <c r="EX93" s="29"/>
      <c r="FH93" t="s">
        <v>329</v>
      </c>
      <c r="FI93" s="29"/>
      <c r="FJ93" t="s">
        <v>39</v>
      </c>
      <c r="FK93" t="s">
        <v>330</v>
      </c>
      <c r="FL93" s="29"/>
      <c r="FR93" s="29"/>
      <c r="FV93" t="s">
        <v>162</v>
      </c>
      <c r="FX93" s="29"/>
      <c r="GB93" t="s">
        <v>162</v>
      </c>
      <c r="GD93" s="29"/>
      <c r="GE93" s="29"/>
      <c r="GI93" s="29"/>
    </row>
    <row r="94" spans="1:191" ht="15.75">
      <c r="A94" s="228" t="s">
        <v>1221</v>
      </c>
      <c r="B94" s="29"/>
      <c r="D94" s="123"/>
      <c r="E94" s="5" t="s">
        <v>755</v>
      </c>
      <c r="F94" s="5"/>
      <c r="G94" s="5" t="s">
        <v>756</v>
      </c>
      <c r="H94" s="5" t="s">
        <v>714</v>
      </c>
      <c r="I94" s="6" t="s">
        <v>757</v>
      </c>
      <c r="J94" s="14"/>
      <c r="K94" s="20"/>
      <c r="L94" s="50">
        <v>0.61</v>
      </c>
      <c r="M94" s="50"/>
      <c r="N94" s="61">
        <v>0.85</v>
      </c>
      <c r="O94" s="50"/>
      <c r="Q94" s="67"/>
      <c r="AC94" s="29"/>
      <c r="AI94" s="33">
        <f>1.10231162684681*AK94</f>
        <v>20.943920910089393</v>
      </c>
      <c r="AJ94" s="119">
        <f t="shared" si="6"/>
        <v>34.334296573917037</v>
      </c>
      <c r="AK94" s="47">
        <v>19</v>
      </c>
      <c r="AQ94" s="148" t="s">
        <v>38</v>
      </c>
      <c r="AR94" s="74">
        <v>19</v>
      </c>
      <c r="AS94" s="71"/>
      <c r="AT94" s="29"/>
      <c r="AU94" s="34">
        <f>AI94</f>
        <v>20.943920910089393</v>
      </c>
      <c r="AZ94" s="34" t="s">
        <v>1111</v>
      </c>
      <c r="BA94" s="29"/>
      <c r="BD94" s="75"/>
      <c r="BE94" s="29"/>
      <c r="BH94" s="75"/>
      <c r="BI94" s="75"/>
      <c r="BJ94" s="75"/>
      <c r="BK94" s="75"/>
      <c r="BL94" s="75"/>
      <c r="BM94" s="75"/>
      <c r="BN94" s="75"/>
      <c r="BO94" s="75"/>
      <c r="BP94" s="75"/>
      <c r="BQ94" s="29"/>
      <c r="BR94" s="29"/>
      <c r="CC94" s="29"/>
      <c r="CX94" s="29"/>
      <c r="DA94" s="29"/>
      <c r="DD94" s="29"/>
      <c r="DH94" s="29"/>
      <c r="DS94" s="29"/>
      <c r="EE94" s="29"/>
      <c r="EL94" s="99"/>
      <c r="EM94" s="112"/>
      <c r="EN94" s="112"/>
      <c r="EO94" s="112"/>
      <c r="EP94" s="112"/>
      <c r="EQ94" s="112"/>
      <c r="ES94" s="99"/>
      <c r="ET94" s="229"/>
      <c r="EV94" s="29"/>
      <c r="EX94" s="29"/>
      <c r="FI94" s="29"/>
      <c r="FL94" s="29"/>
      <c r="FR94" s="29"/>
      <c r="FX94" s="29"/>
      <c r="GD94" s="29"/>
      <c r="GE94" s="29"/>
      <c r="GI94" s="29"/>
    </row>
    <row r="95" spans="1:191" ht="45">
      <c r="A95" s="228" t="s">
        <v>683</v>
      </c>
      <c r="B95" s="29" t="s">
        <v>631</v>
      </c>
      <c r="D95" s="5"/>
      <c r="E95" s="5" t="s">
        <v>873</v>
      </c>
      <c r="F95" s="5"/>
      <c r="G95" s="5" t="s">
        <v>874</v>
      </c>
      <c r="H95" s="5" t="s">
        <v>875</v>
      </c>
      <c r="I95" s="6" t="s">
        <v>876</v>
      </c>
      <c r="J95" s="5"/>
      <c r="K95" s="20"/>
      <c r="L95">
        <v>1.38</v>
      </c>
      <c r="M95">
        <v>1.38</v>
      </c>
      <c r="N95" s="4">
        <v>1.1000000000000001</v>
      </c>
      <c r="O95">
        <v>1.1000000000000001</v>
      </c>
      <c r="P95">
        <v>3900</v>
      </c>
      <c r="Q95" s="67">
        <f t="shared" ref="Q95:Q101" si="9">L95*1000000/P95</f>
        <v>353.84615384615387</v>
      </c>
      <c r="S95" t="s">
        <v>39</v>
      </c>
      <c r="U95" t="s">
        <v>38</v>
      </c>
      <c r="W95" t="s">
        <v>476</v>
      </c>
      <c r="AA95" t="s">
        <v>43</v>
      </c>
      <c r="AC95" s="29" t="s">
        <v>44</v>
      </c>
      <c r="AI95" s="29">
        <v>49</v>
      </c>
      <c r="AJ95" s="119">
        <f t="shared" si="6"/>
        <v>35.507246376811594</v>
      </c>
      <c r="AK95" s="32">
        <f>AI95*0.907185</f>
        <v>44.452064999999997</v>
      </c>
      <c r="AP95">
        <v>4</v>
      </c>
      <c r="AQ95" s="148" t="s">
        <v>38</v>
      </c>
      <c r="AR95" s="73">
        <v>60.67</v>
      </c>
      <c r="AS95" s="70">
        <v>52.59</v>
      </c>
      <c r="AT95" s="29"/>
      <c r="AY95">
        <v>49</v>
      </c>
      <c r="BA95" s="29"/>
      <c r="BB95" t="s">
        <v>39</v>
      </c>
      <c r="BD95" s="75">
        <v>0</v>
      </c>
      <c r="BE95" s="29"/>
      <c r="BF95" t="s">
        <v>39</v>
      </c>
      <c r="BH95" s="75"/>
      <c r="BI95" s="75"/>
      <c r="BJ95" s="75"/>
      <c r="BK95" s="75"/>
      <c r="BL95" s="75"/>
      <c r="BM95" s="75"/>
      <c r="BN95" s="75"/>
      <c r="BO95" s="75"/>
      <c r="BP95" s="75"/>
      <c r="BQ95" s="29">
        <v>0</v>
      </c>
      <c r="BR95" s="29" t="s">
        <v>71</v>
      </c>
      <c r="BS95" t="s">
        <v>72</v>
      </c>
      <c r="CC95" s="29" t="s">
        <v>180</v>
      </c>
      <c r="CP95" t="s">
        <v>203</v>
      </c>
      <c r="CQ95" t="s">
        <v>181</v>
      </c>
      <c r="CX95" s="29"/>
      <c r="CZ95" t="s">
        <v>105</v>
      </c>
      <c r="DA95" s="29" t="s">
        <v>106</v>
      </c>
      <c r="DD95" s="29"/>
      <c r="DG95">
        <v>100</v>
      </c>
      <c r="DH95" s="29"/>
      <c r="DS95" s="29"/>
      <c r="EA95" t="s">
        <v>131</v>
      </c>
      <c r="EE95" s="29"/>
      <c r="EK95">
        <v>100</v>
      </c>
      <c r="EL95" s="99"/>
      <c r="EM95" s="112"/>
      <c r="EN95" s="112"/>
      <c r="EO95" s="112"/>
      <c r="EP95" s="112"/>
      <c r="EQ95" s="112"/>
      <c r="ES95" s="99">
        <v>51840</v>
      </c>
      <c r="ET95" s="229">
        <f t="shared" ref="ET95:ET101" si="10">ES95/AI95</f>
        <v>1057.9591836734694</v>
      </c>
      <c r="EV95" s="29">
        <v>10</v>
      </c>
      <c r="EW95">
        <v>25</v>
      </c>
      <c r="EX95" s="29" t="s">
        <v>477</v>
      </c>
      <c r="FH95" t="s">
        <v>478</v>
      </c>
      <c r="FI95" s="29" t="s">
        <v>38</v>
      </c>
      <c r="FL95" s="29"/>
      <c r="FM95" t="s">
        <v>153</v>
      </c>
      <c r="FR95" s="29"/>
      <c r="FV95" t="s">
        <v>162</v>
      </c>
      <c r="FX95" s="29" t="s">
        <v>158</v>
      </c>
      <c r="GD95" s="29"/>
      <c r="GE95" s="29"/>
      <c r="GI95" s="29"/>
    </row>
    <row r="96" spans="1:191" ht="15.75">
      <c r="A96" s="228" t="s">
        <v>684</v>
      </c>
      <c r="B96" s="29" t="s">
        <v>286</v>
      </c>
      <c r="D96" s="14"/>
      <c r="E96" s="104" t="s">
        <v>957</v>
      </c>
      <c r="F96" s="104"/>
      <c r="G96" s="14" t="s">
        <v>958</v>
      </c>
      <c r="H96" s="14" t="s">
        <v>724</v>
      </c>
      <c r="I96" s="15" t="s">
        <v>959</v>
      </c>
      <c r="J96" s="110"/>
      <c r="K96" s="110"/>
      <c r="L96">
        <v>7.0000000000000001E-3</v>
      </c>
      <c r="M96">
        <v>7.0000000000000001E-3</v>
      </c>
      <c r="N96" s="4">
        <v>0.03</v>
      </c>
      <c r="O96">
        <v>0.03</v>
      </c>
      <c r="P96">
        <v>75</v>
      </c>
      <c r="Q96" s="67">
        <f t="shared" si="9"/>
        <v>93.333333333333329</v>
      </c>
      <c r="R96" t="s">
        <v>38</v>
      </c>
      <c r="T96" t="s">
        <v>287</v>
      </c>
      <c r="V96" t="s">
        <v>39</v>
      </c>
      <c r="Y96" t="s">
        <v>39</v>
      </c>
      <c r="AC96" s="29"/>
      <c r="AH96" t="s">
        <v>49</v>
      </c>
      <c r="AI96" s="33">
        <f>8.35/2000*AP96/100*AO96</f>
        <v>2.5050000000000003</v>
      </c>
      <c r="AJ96" s="119">
        <f t="shared" si="6"/>
        <v>357.85714285714289</v>
      </c>
      <c r="AK96" s="32">
        <f>AI96*0.907185</f>
        <v>2.2724984250000002</v>
      </c>
      <c r="AO96">
        <v>20000</v>
      </c>
      <c r="AP96" s="34">
        <v>3</v>
      </c>
      <c r="AQ96" s="150"/>
      <c r="AR96" s="73"/>
      <c r="AS96" s="70"/>
      <c r="AT96" s="29"/>
      <c r="AY96" s="81">
        <f>AI96</f>
        <v>2.5050000000000003</v>
      </c>
      <c r="AZ96" s="81" t="s">
        <v>288</v>
      </c>
      <c r="BA96" s="29"/>
      <c r="BB96" t="s">
        <v>39</v>
      </c>
      <c r="BD96" s="75">
        <v>0</v>
      </c>
      <c r="BE96" s="29"/>
      <c r="BF96" t="s">
        <v>39</v>
      </c>
      <c r="BH96" s="75"/>
      <c r="BI96" s="75"/>
      <c r="BJ96" s="75"/>
      <c r="BK96" s="75"/>
      <c r="BL96" s="75"/>
      <c r="BM96" s="75"/>
      <c r="BN96" s="75"/>
      <c r="BO96" s="75"/>
      <c r="BP96" s="75"/>
      <c r="BQ96" s="29">
        <v>0</v>
      </c>
      <c r="BR96" s="29"/>
      <c r="CB96" t="s">
        <v>289</v>
      </c>
      <c r="CC96" s="29"/>
      <c r="CX96" s="29"/>
      <c r="CZ96" t="s">
        <v>105</v>
      </c>
      <c r="DA96" s="29"/>
      <c r="DC96" t="s">
        <v>43</v>
      </c>
      <c r="DD96" s="29"/>
      <c r="DG96">
        <v>100</v>
      </c>
      <c r="DH96" s="29"/>
      <c r="DS96" s="29"/>
      <c r="EB96" t="s">
        <v>132</v>
      </c>
      <c r="ED96" t="s">
        <v>290</v>
      </c>
      <c r="EE96" s="29"/>
      <c r="EI96">
        <v>100</v>
      </c>
      <c r="EL96" s="99"/>
      <c r="EM96" s="112"/>
      <c r="EN96" s="112"/>
      <c r="EO96" s="112"/>
      <c r="EP96" s="112"/>
      <c r="EQ96" s="112"/>
      <c r="ES96" s="99">
        <v>6000</v>
      </c>
      <c r="ET96" s="229">
        <f t="shared" si="10"/>
        <v>2395.2095808383228</v>
      </c>
      <c r="EU96" t="s">
        <v>291</v>
      </c>
      <c r="EV96" s="29">
        <v>0</v>
      </c>
      <c r="EW96">
        <v>50</v>
      </c>
      <c r="EX96" s="29"/>
      <c r="FI96" s="29"/>
      <c r="FJ96" t="s">
        <v>39</v>
      </c>
      <c r="FK96" t="s">
        <v>292</v>
      </c>
      <c r="FL96" s="29"/>
      <c r="FR96" s="29"/>
      <c r="FV96" t="s">
        <v>162</v>
      </c>
      <c r="FX96" s="29" t="s">
        <v>158</v>
      </c>
      <c r="GC96" t="s">
        <v>293</v>
      </c>
      <c r="GD96" s="29"/>
      <c r="GE96" s="29"/>
      <c r="GI96" s="29"/>
    </row>
    <row r="97" spans="1:191" ht="47.25">
      <c r="A97" s="228" t="s">
        <v>689</v>
      </c>
      <c r="B97" s="29" t="s">
        <v>441</v>
      </c>
      <c r="D97" s="8"/>
      <c r="E97" s="8" t="s">
        <v>877</v>
      </c>
      <c r="F97" s="8"/>
      <c r="G97" s="8" t="s">
        <v>878</v>
      </c>
      <c r="H97" s="8" t="s">
        <v>714</v>
      </c>
      <c r="I97" s="9" t="s">
        <v>879</v>
      </c>
      <c r="J97" s="8"/>
      <c r="K97" s="20"/>
      <c r="L97">
        <v>0.34599999999999997</v>
      </c>
      <c r="M97">
        <v>0.34599999999999997</v>
      </c>
      <c r="N97" s="4">
        <v>0.5</v>
      </c>
      <c r="O97">
        <v>0.5</v>
      </c>
      <c r="P97">
        <v>3800</v>
      </c>
      <c r="Q97" s="67">
        <f t="shared" si="9"/>
        <v>91.05263157894737</v>
      </c>
      <c r="S97" t="s">
        <v>39</v>
      </c>
      <c r="U97" t="s">
        <v>38</v>
      </c>
      <c r="W97" t="s">
        <v>421</v>
      </c>
      <c r="AA97" t="s">
        <v>43</v>
      </c>
      <c r="AC97" s="29" t="s">
        <v>44</v>
      </c>
      <c r="AI97" s="29">
        <v>44</v>
      </c>
      <c r="AJ97" s="119">
        <f t="shared" si="6"/>
        <v>127.16763005780348</v>
      </c>
      <c r="AK97" s="32">
        <f>AI97*0.907185</f>
        <v>39.916139999999999</v>
      </c>
      <c r="AQ97" s="148"/>
      <c r="AR97" s="73"/>
      <c r="AS97" s="70"/>
      <c r="AT97" s="29"/>
      <c r="AU97">
        <v>44</v>
      </c>
      <c r="AZ97" t="s">
        <v>442</v>
      </c>
      <c r="BA97" s="29"/>
      <c r="BB97" t="s">
        <v>39</v>
      </c>
      <c r="BD97" s="75"/>
      <c r="BE97" s="29"/>
      <c r="BF97" t="s">
        <v>39</v>
      </c>
      <c r="BH97" s="75"/>
      <c r="BI97" s="75"/>
      <c r="BJ97" s="75"/>
      <c r="BK97" s="75"/>
      <c r="BL97" s="75"/>
      <c r="BM97" s="75"/>
      <c r="BN97" s="75"/>
      <c r="BO97" s="75"/>
      <c r="BP97" s="75"/>
      <c r="BQ97" s="29"/>
      <c r="BR97" s="29"/>
      <c r="CC97" s="29"/>
      <c r="CK97" t="s">
        <v>170</v>
      </c>
      <c r="CX97" s="29"/>
      <c r="CZ97" t="s">
        <v>105</v>
      </c>
      <c r="DA97" s="29"/>
      <c r="DC97" t="s">
        <v>43</v>
      </c>
      <c r="DD97" s="29"/>
      <c r="DH97" s="29"/>
      <c r="DS97" s="29"/>
      <c r="DZ97" t="s">
        <v>130</v>
      </c>
      <c r="ED97" t="s">
        <v>443</v>
      </c>
      <c r="EE97" s="29"/>
      <c r="EH97">
        <v>100</v>
      </c>
      <c r="EL97" s="99"/>
      <c r="EM97" s="112"/>
      <c r="EN97" s="112"/>
      <c r="EO97" s="112"/>
      <c r="EP97" s="112"/>
      <c r="EQ97" s="112"/>
      <c r="ES97" s="99">
        <v>38000</v>
      </c>
      <c r="ET97" s="229">
        <f t="shared" si="10"/>
        <v>863.63636363636363</v>
      </c>
      <c r="EV97" s="29">
        <v>5</v>
      </c>
      <c r="EW97">
        <v>50</v>
      </c>
      <c r="EX97" s="29"/>
      <c r="FI97" s="29" t="s">
        <v>38</v>
      </c>
      <c r="FL97" s="29"/>
      <c r="FN97" t="s">
        <v>154</v>
      </c>
      <c r="FQ97" t="s">
        <v>444</v>
      </c>
      <c r="FR97" s="29"/>
      <c r="FV97" t="s">
        <v>162</v>
      </c>
      <c r="FX97" s="29"/>
      <c r="FZ97" t="s">
        <v>160</v>
      </c>
      <c r="GD97" s="29"/>
      <c r="GE97" s="29"/>
      <c r="GI97" s="29"/>
    </row>
    <row r="98" spans="1:191" ht="15.75">
      <c r="A98" s="228" t="s">
        <v>685</v>
      </c>
      <c r="B98" s="29" t="s">
        <v>535</v>
      </c>
      <c r="D98" s="14"/>
      <c r="E98" s="5" t="s">
        <v>880</v>
      </c>
      <c r="F98" s="5"/>
      <c r="G98" s="5" t="s">
        <v>881</v>
      </c>
      <c r="H98" s="5" t="s">
        <v>714</v>
      </c>
      <c r="I98" s="6" t="s">
        <v>960</v>
      </c>
      <c r="J98" s="5"/>
      <c r="K98" s="20"/>
      <c r="L98">
        <v>1.9</v>
      </c>
      <c r="M98">
        <v>1.9</v>
      </c>
      <c r="N98" s="4">
        <v>5.6</v>
      </c>
      <c r="O98">
        <v>5.6</v>
      </c>
      <c r="P98">
        <v>12000</v>
      </c>
      <c r="Q98" s="67">
        <f t="shared" si="9"/>
        <v>158.33333333333334</v>
      </c>
      <c r="R98" t="s">
        <v>38</v>
      </c>
      <c r="T98" t="s">
        <v>536</v>
      </c>
      <c r="U98" t="s">
        <v>38</v>
      </c>
      <c r="W98" t="s">
        <v>537</v>
      </c>
      <c r="X98" t="s">
        <v>38</v>
      </c>
      <c r="AC98" s="29" t="s">
        <v>44</v>
      </c>
      <c r="AI98" s="29">
        <v>469</v>
      </c>
      <c r="AJ98" s="119">
        <f t="shared" si="6"/>
        <v>246.84210526315792</v>
      </c>
      <c r="AK98" s="32">
        <f>AI98*0.907185</f>
        <v>425.469765</v>
      </c>
      <c r="AP98">
        <v>15</v>
      </c>
      <c r="AQ98" s="148"/>
      <c r="AR98" s="73"/>
      <c r="AS98" s="70"/>
      <c r="AT98" s="29"/>
      <c r="AV98">
        <v>469</v>
      </c>
      <c r="BA98" s="29" t="s">
        <v>38</v>
      </c>
      <c r="BD98" s="75">
        <v>4154675</v>
      </c>
      <c r="BE98" s="29" t="s">
        <v>38</v>
      </c>
      <c r="BH98" s="75"/>
      <c r="BI98" s="75">
        <v>649000</v>
      </c>
      <c r="BJ98" s="75"/>
      <c r="BK98" s="75"/>
      <c r="BL98" s="75"/>
      <c r="BM98" s="75"/>
      <c r="BN98" s="75"/>
      <c r="BO98" s="75"/>
      <c r="BP98" s="75"/>
      <c r="BQ98" s="29">
        <v>50</v>
      </c>
      <c r="BR98" s="29"/>
      <c r="BS98" t="s">
        <v>72</v>
      </c>
      <c r="CC98" s="29"/>
      <c r="CD98" t="s">
        <v>170</v>
      </c>
      <c r="CK98" t="s">
        <v>170</v>
      </c>
      <c r="CU98" t="s">
        <v>187</v>
      </c>
      <c r="CX98" s="29"/>
      <c r="CY98" t="s">
        <v>104</v>
      </c>
      <c r="DA98" s="29" t="s">
        <v>106</v>
      </c>
      <c r="DD98" s="29"/>
      <c r="DG98">
        <v>100</v>
      </c>
      <c r="DH98" s="29"/>
      <c r="DQ98" t="s">
        <v>121</v>
      </c>
      <c r="DS98" s="29" t="s">
        <v>123</v>
      </c>
      <c r="EE98" s="29"/>
      <c r="EI98">
        <v>100</v>
      </c>
      <c r="EL98" s="99"/>
      <c r="EM98" s="112"/>
      <c r="EN98" s="112"/>
      <c r="EO98" s="112"/>
      <c r="EP98" s="112">
        <v>148</v>
      </c>
      <c r="EQ98" s="112"/>
      <c r="ES98" s="99">
        <v>450000</v>
      </c>
      <c r="ET98" s="229">
        <f t="shared" si="10"/>
        <v>959.48827292110877</v>
      </c>
      <c r="EV98" s="29">
        <v>0</v>
      </c>
      <c r="EW98">
        <v>50</v>
      </c>
      <c r="EX98" s="29"/>
      <c r="FA98" t="s">
        <v>126</v>
      </c>
      <c r="FC98" t="s">
        <v>538</v>
      </c>
      <c r="FD98" t="s">
        <v>305</v>
      </c>
      <c r="FI98" s="29" t="s">
        <v>38</v>
      </c>
      <c r="FL98" s="29" t="s">
        <v>152</v>
      </c>
      <c r="FR98" s="29"/>
      <c r="FV98" t="s">
        <v>162</v>
      </c>
      <c r="FX98" s="29" t="s">
        <v>158</v>
      </c>
      <c r="GD98" s="29"/>
      <c r="GE98" s="29"/>
      <c r="GI98" s="29"/>
    </row>
    <row r="99" spans="1:191" ht="45">
      <c r="A99" s="228" t="s">
        <v>686</v>
      </c>
      <c r="B99" s="29" t="s">
        <v>711</v>
      </c>
      <c r="D99" s="5"/>
      <c r="E99" s="5" t="s">
        <v>882</v>
      </c>
      <c r="F99" s="5"/>
      <c r="G99" s="5" t="s">
        <v>883</v>
      </c>
      <c r="H99" s="5" t="s">
        <v>724</v>
      </c>
      <c r="I99" s="6" t="s">
        <v>884</v>
      </c>
      <c r="J99" s="5"/>
      <c r="K99" s="20"/>
      <c r="L99">
        <v>0.55000000000000004</v>
      </c>
      <c r="M99">
        <v>0.55000000000000004</v>
      </c>
      <c r="N99" s="4">
        <v>1.1000000000000001</v>
      </c>
      <c r="O99" s="40">
        <v>1.1000000000000001</v>
      </c>
      <c r="P99" s="34">
        <v>8500</v>
      </c>
      <c r="Q99" s="67">
        <f t="shared" si="9"/>
        <v>64.705882352941174</v>
      </c>
      <c r="S99" t="s">
        <v>39</v>
      </c>
      <c r="U99" t="s">
        <v>38</v>
      </c>
      <c r="W99" t="s">
        <v>1011</v>
      </c>
      <c r="Y99" t="s">
        <v>39</v>
      </c>
      <c r="AC99" s="29" t="s">
        <v>44</v>
      </c>
      <c r="AI99" s="29">
        <v>125</v>
      </c>
      <c r="AJ99" s="119">
        <f t="shared" si="6"/>
        <v>227.27272727272725</v>
      </c>
      <c r="AK99" s="32">
        <f>AI99*0.907185</f>
        <v>113.39812500000001</v>
      </c>
      <c r="AP99">
        <v>12</v>
      </c>
      <c r="AQ99" s="148" t="s">
        <v>38</v>
      </c>
      <c r="AR99" s="73">
        <v>144.19999999999999</v>
      </c>
      <c r="AS99" s="70"/>
      <c r="AT99" s="35"/>
      <c r="AY99">
        <v>125</v>
      </c>
      <c r="BA99" s="29" t="s">
        <v>38</v>
      </c>
      <c r="BD99" s="75">
        <v>650000</v>
      </c>
      <c r="BE99" s="29"/>
      <c r="BF99" t="s">
        <v>39</v>
      </c>
      <c r="BH99" s="75"/>
      <c r="BI99" s="75"/>
      <c r="BJ99" s="75"/>
      <c r="BK99" s="75"/>
      <c r="BL99" s="75"/>
      <c r="BM99" s="75"/>
      <c r="BN99" s="75"/>
      <c r="BO99" s="75"/>
      <c r="BP99" s="75"/>
      <c r="BQ99" s="29">
        <v>0</v>
      </c>
      <c r="BR99" s="29" t="s">
        <v>71</v>
      </c>
      <c r="BS99" t="s">
        <v>72</v>
      </c>
      <c r="BT99" t="s">
        <v>73</v>
      </c>
      <c r="CC99" s="29" t="s">
        <v>180</v>
      </c>
      <c r="CN99" t="s">
        <v>187</v>
      </c>
      <c r="CQ99" t="s">
        <v>181</v>
      </c>
      <c r="CX99" s="29"/>
      <c r="CZ99" t="s">
        <v>105</v>
      </c>
      <c r="DA99" s="29" t="s">
        <v>106</v>
      </c>
      <c r="DD99" s="29"/>
      <c r="DH99" s="29"/>
      <c r="DS99" s="29" t="s">
        <v>123</v>
      </c>
      <c r="DY99" t="s">
        <v>129</v>
      </c>
      <c r="EE99" s="29"/>
      <c r="EJ99">
        <v>100</v>
      </c>
      <c r="EL99" s="99"/>
      <c r="EM99" s="112"/>
      <c r="EN99" s="112"/>
      <c r="EO99" s="112"/>
      <c r="EP99" s="112"/>
      <c r="EQ99" s="112" t="s">
        <v>1012</v>
      </c>
      <c r="ES99" s="29">
        <v>120000</v>
      </c>
      <c r="ET99" s="229">
        <f t="shared" si="10"/>
        <v>960</v>
      </c>
      <c r="EV99" s="29">
        <v>20</v>
      </c>
      <c r="EW99">
        <v>20</v>
      </c>
      <c r="EX99" s="29"/>
      <c r="FA99" t="s">
        <v>1013</v>
      </c>
      <c r="FE99" t="s">
        <v>1003</v>
      </c>
      <c r="FI99" s="29"/>
      <c r="FJ99" t="s">
        <v>39</v>
      </c>
      <c r="FL99" s="29"/>
      <c r="FR99" s="29"/>
      <c r="FV99" t="s">
        <v>162</v>
      </c>
      <c r="FX99" s="29"/>
      <c r="FZ99" t="s">
        <v>160</v>
      </c>
      <c r="GD99" s="29"/>
      <c r="GE99" s="29"/>
      <c r="GI99" s="29"/>
    </row>
    <row r="100" spans="1:191" ht="15.75">
      <c r="A100" s="228" t="s">
        <v>687</v>
      </c>
      <c r="B100" s="29" t="s">
        <v>623</v>
      </c>
      <c r="D100" s="14"/>
      <c r="E100" s="5" t="s">
        <v>885</v>
      </c>
      <c r="F100" s="5"/>
      <c r="G100" s="5" t="s">
        <v>886</v>
      </c>
      <c r="H100" s="5" t="s">
        <v>714</v>
      </c>
      <c r="I100" s="6" t="s">
        <v>887</v>
      </c>
      <c r="J100" s="5"/>
      <c r="K100" s="20"/>
      <c r="L100">
        <v>13</v>
      </c>
      <c r="M100">
        <v>13</v>
      </c>
      <c r="N100" s="4">
        <v>17</v>
      </c>
      <c r="O100">
        <v>17</v>
      </c>
      <c r="P100">
        <v>500000</v>
      </c>
      <c r="Q100" s="67">
        <f t="shared" si="9"/>
        <v>26</v>
      </c>
      <c r="R100" t="s">
        <v>38</v>
      </c>
      <c r="T100" t="s">
        <v>299</v>
      </c>
      <c r="U100" t="s">
        <v>38</v>
      </c>
      <c r="W100" t="s">
        <v>300</v>
      </c>
      <c r="X100" t="s">
        <v>38</v>
      </c>
      <c r="AC100" s="29"/>
      <c r="AD100" t="s">
        <v>45</v>
      </c>
      <c r="AI100" s="33">
        <f>1.10231162684681*AK100</f>
        <v>759.49271089745218</v>
      </c>
      <c r="AJ100" s="119">
        <f t="shared" si="6"/>
        <v>58.422516222880937</v>
      </c>
      <c r="AK100">
        <v>689</v>
      </c>
      <c r="AP100">
        <v>18</v>
      </c>
      <c r="AQ100" s="148"/>
      <c r="AR100" s="73"/>
      <c r="AS100" s="70"/>
      <c r="AT100" s="29"/>
      <c r="AV100" s="32">
        <f>1.10231162684681*689</f>
        <v>759.49271089745218</v>
      </c>
      <c r="BA100" s="29" t="s">
        <v>38</v>
      </c>
      <c r="BC100" t="s">
        <v>301</v>
      </c>
      <c r="BD100" s="75">
        <v>707250</v>
      </c>
      <c r="BE100" s="29"/>
      <c r="BF100" t="s">
        <v>39</v>
      </c>
      <c r="BH100" s="75"/>
      <c r="BI100" s="75"/>
      <c r="BJ100" s="75"/>
      <c r="BK100" s="75"/>
      <c r="BL100" s="75"/>
      <c r="BM100" s="75"/>
      <c r="BN100" s="75"/>
      <c r="BO100" s="75"/>
      <c r="BP100" s="75"/>
      <c r="BQ100" s="29">
        <v>75</v>
      </c>
      <c r="BR100" s="29" t="s">
        <v>71</v>
      </c>
      <c r="BS100" t="s">
        <v>72</v>
      </c>
      <c r="BU100" t="s">
        <v>74</v>
      </c>
      <c r="BV100" t="s">
        <v>75</v>
      </c>
      <c r="CC100" s="29" t="s">
        <v>180</v>
      </c>
      <c r="CL100" t="s">
        <v>171</v>
      </c>
      <c r="CQ100" t="s">
        <v>181</v>
      </c>
      <c r="CX100" s="29"/>
      <c r="CY100" t="s">
        <v>104</v>
      </c>
      <c r="DA100" s="29" t="s">
        <v>106</v>
      </c>
      <c r="DD100" s="29"/>
      <c r="DF100">
        <v>100</v>
      </c>
      <c r="DH100" s="29"/>
      <c r="DS100" s="29" t="s">
        <v>123</v>
      </c>
      <c r="EE100" s="29"/>
      <c r="EI100">
        <v>100</v>
      </c>
      <c r="EL100" s="99"/>
      <c r="EM100" s="112"/>
      <c r="EN100" s="112"/>
      <c r="EO100" s="112"/>
      <c r="EP100" s="112">
        <v>92.35</v>
      </c>
      <c r="EQ100" s="112"/>
      <c r="ES100" s="99">
        <v>380547.57</v>
      </c>
      <c r="ET100" s="229">
        <f t="shared" si="10"/>
        <v>501.05493382593119</v>
      </c>
      <c r="EV100" s="29">
        <v>0</v>
      </c>
      <c r="EW100">
        <v>20</v>
      </c>
      <c r="EX100" s="29" t="s">
        <v>302</v>
      </c>
      <c r="FA100" t="s">
        <v>304</v>
      </c>
      <c r="FC100" t="s">
        <v>305</v>
      </c>
      <c r="FD100" t="s">
        <v>306</v>
      </c>
      <c r="FE100" t="s">
        <v>307</v>
      </c>
      <c r="FI100" s="29"/>
      <c r="FJ100" t="s">
        <v>39</v>
      </c>
      <c r="FL100" s="29"/>
      <c r="FR100" s="29"/>
      <c r="FV100" t="s">
        <v>162</v>
      </c>
      <c r="FX100" s="29"/>
      <c r="FZ100" t="s">
        <v>160</v>
      </c>
      <c r="GD100" s="29"/>
      <c r="GE100" s="29"/>
      <c r="GI100" s="29"/>
    </row>
    <row r="101" spans="1:191" ht="15.75">
      <c r="A101" s="228" t="s">
        <v>688</v>
      </c>
      <c r="B101" s="29" t="s">
        <v>283</v>
      </c>
      <c r="D101" s="14"/>
      <c r="E101" s="5" t="s">
        <v>888</v>
      </c>
      <c r="F101" s="5"/>
      <c r="G101" s="5" t="s">
        <v>889</v>
      </c>
      <c r="H101" s="5" t="s">
        <v>714</v>
      </c>
      <c r="I101" s="6" t="s">
        <v>890</v>
      </c>
      <c r="J101" s="14"/>
      <c r="K101" s="19"/>
      <c r="L101">
        <v>1.53</v>
      </c>
      <c r="M101">
        <v>1.53</v>
      </c>
      <c r="N101" s="4">
        <v>1.75</v>
      </c>
      <c r="O101">
        <v>1.75</v>
      </c>
      <c r="P101">
        <v>58271</v>
      </c>
      <c r="Q101" s="67">
        <f t="shared" si="9"/>
        <v>26.256628511609549</v>
      </c>
      <c r="S101" t="s">
        <v>39</v>
      </c>
      <c r="V101" t="s">
        <v>39</v>
      </c>
      <c r="X101" t="s">
        <v>38</v>
      </c>
      <c r="AC101" s="29"/>
      <c r="AH101" t="s">
        <v>49</v>
      </c>
      <c r="AI101" s="33">
        <f>8.35/2000*AP101/100*AO101</f>
        <v>101.64413250000001</v>
      </c>
      <c r="AJ101" s="119">
        <f t="shared" si="6"/>
        <v>66.434073529411776</v>
      </c>
      <c r="AK101" s="32">
        <f>AI101*0.907185</f>
        <v>92.210032342012511</v>
      </c>
      <c r="AO101">
        <v>405765</v>
      </c>
      <c r="AP101">
        <v>6</v>
      </c>
      <c r="AQ101" s="148" t="s">
        <v>38</v>
      </c>
      <c r="AR101" s="73">
        <v>1174.04</v>
      </c>
      <c r="AS101" s="70">
        <v>1134.81</v>
      </c>
      <c r="AT101" s="29"/>
      <c r="AU101" s="32">
        <f>AI101</f>
        <v>101.64413250000001</v>
      </c>
      <c r="AZ101" t="s">
        <v>284</v>
      </c>
      <c r="BA101" s="29" t="s">
        <v>38</v>
      </c>
      <c r="BD101" s="75">
        <v>19563768</v>
      </c>
      <c r="BE101" s="29"/>
      <c r="BF101" t="s">
        <v>39</v>
      </c>
      <c r="BH101" s="75"/>
      <c r="BI101" s="75"/>
      <c r="BJ101" s="75"/>
      <c r="BK101" s="75"/>
      <c r="BL101" s="75"/>
      <c r="BM101" s="75"/>
      <c r="BN101" s="75"/>
      <c r="BO101" s="75"/>
      <c r="BP101" s="75"/>
      <c r="BQ101" s="29">
        <v>50</v>
      </c>
      <c r="BR101" s="29"/>
      <c r="BS101" t="s">
        <v>72</v>
      </c>
      <c r="CC101" s="29" t="s">
        <v>180</v>
      </c>
      <c r="CJ101" t="s">
        <v>196</v>
      </c>
      <c r="CS101" t="s">
        <v>171</v>
      </c>
      <c r="CX101" s="29"/>
      <c r="CY101" t="s">
        <v>104</v>
      </c>
      <c r="DA101" s="29" t="s">
        <v>106</v>
      </c>
      <c r="DD101" s="29"/>
      <c r="DH101" s="29"/>
      <c r="DS101" s="29" t="s">
        <v>123</v>
      </c>
      <c r="EE101" s="29"/>
      <c r="EH101">
        <v>100</v>
      </c>
      <c r="EL101" s="99"/>
      <c r="EM101" s="112"/>
      <c r="EN101" s="112"/>
      <c r="EP101" s="113">
        <f>319.19*0.78</f>
        <v>248.9682</v>
      </c>
      <c r="EQ101" s="112"/>
      <c r="ER101" s="113" t="s">
        <v>285</v>
      </c>
      <c r="ES101" s="99">
        <v>292876</v>
      </c>
      <c r="ET101" s="229">
        <f t="shared" si="10"/>
        <v>2881.3861931479414</v>
      </c>
      <c r="EV101" s="29">
        <v>10</v>
      </c>
      <c r="EW101">
        <v>25</v>
      </c>
      <c r="EX101" s="29"/>
      <c r="FI101" s="29" t="s">
        <v>38</v>
      </c>
      <c r="FL101" s="29"/>
      <c r="FM101" t="s">
        <v>153</v>
      </c>
      <c r="FR101" s="29"/>
      <c r="FT101" t="s">
        <v>160</v>
      </c>
      <c r="FX101" s="29"/>
      <c r="FY101" t="s">
        <v>159</v>
      </c>
      <c r="GD101" s="29"/>
      <c r="GE101" s="29"/>
      <c r="GI101" s="29"/>
    </row>
    <row r="102" spans="1:191" ht="15.75">
      <c r="A102" s="295" t="s">
        <v>1038</v>
      </c>
      <c r="B102" s="29"/>
      <c r="D102" s="14"/>
      <c r="E102" s="5"/>
      <c r="F102" s="5"/>
      <c r="G102" s="5"/>
      <c r="H102" s="5"/>
      <c r="I102" s="6"/>
      <c r="J102" s="14"/>
      <c r="K102" s="19"/>
      <c r="L102" s="50">
        <v>0.69</v>
      </c>
      <c r="M102" s="50"/>
      <c r="N102" s="61">
        <v>0.69</v>
      </c>
      <c r="O102" s="50"/>
      <c r="Q102" s="67"/>
      <c r="AC102" s="29"/>
      <c r="AI102" s="56">
        <v>63.1</v>
      </c>
      <c r="AJ102" s="119">
        <f t="shared" si="6"/>
        <v>91.449275362318843</v>
      </c>
      <c r="AK102" s="32">
        <f>AI102*0.907185</f>
        <v>57.243373500000004</v>
      </c>
      <c r="AQ102" s="148"/>
      <c r="AR102" s="73"/>
      <c r="AS102" s="70"/>
      <c r="AT102" s="29"/>
      <c r="AU102" s="34">
        <f>AI102</f>
        <v>63.1</v>
      </c>
      <c r="AZ102" s="34" t="s">
        <v>1119</v>
      </c>
      <c r="BA102" s="29"/>
      <c r="BD102" s="75"/>
      <c r="BE102" s="29"/>
      <c r="BH102" s="75"/>
      <c r="BI102" s="75"/>
      <c r="BJ102" s="75"/>
      <c r="BK102" s="75"/>
      <c r="BL102" s="75"/>
      <c r="BM102" s="75"/>
      <c r="BN102" s="75"/>
      <c r="BO102" s="75"/>
      <c r="BP102" s="75"/>
      <c r="BQ102" s="29"/>
      <c r="BR102" s="29"/>
      <c r="CC102" s="29"/>
      <c r="CX102" s="29"/>
      <c r="DA102" s="29"/>
      <c r="DD102" s="29"/>
      <c r="DH102" s="29"/>
      <c r="DS102" s="29"/>
      <c r="EE102" s="29"/>
      <c r="EL102" s="99"/>
      <c r="EM102" s="112"/>
      <c r="EN102" s="112"/>
      <c r="EO102" s="112"/>
      <c r="EP102" s="112"/>
      <c r="EQ102" s="112"/>
      <c r="ES102" s="99"/>
      <c r="ET102" s="229"/>
      <c r="EV102" s="29"/>
      <c r="EX102" s="29"/>
      <c r="FI102" s="29"/>
      <c r="FL102" s="29"/>
      <c r="FR102" s="29"/>
      <c r="FX102" s="29"/>
      <c r="GD102" s="29"/>
      <c r="GE102" s="29"/>
      <c r="GI102" s="29"/>
    </row>
    <row r="103" spans="1:191" ht="30">
      <c r="A103" s="228" t="s">
        <v>690</v>
      </c>
      <c r="B103" s="29" t="s">
        <v>528</v>
      </c>
      <c r="D103" s="5"/>
      <c r="E103" s="5" t="s">
        <v>891</v>
      </c>
      <c r="F103" s="5"/>
      <c r="G103" s="5" t="s">
        <v>892</v>
      </c>
      <c r="H103" s="5" t="s">
        <v>714</v>
      </c>
      <c r="I103" s="6" t="s">
        <v>893</v>
      </c>
      <c r="J103" s="5"/>
      <c r="K103" s="20"/>
      <c r="L103">
        <v>2.5</v>
      </c>
      <c r="M103">
        <v>2.5</v>
      </c>
      <c r="N103" s="4">
        <v>2.5</v>
      </c>
      <c r="O103">
        <v>2.5</v>
      </c>
      <c r="P103">
        <v>12500</v>
      </c>
      <c r="Q103" s="67">
        <f>L103*1000000/P103</f>
        <v>200</v>
      </c>
      <c r="R103" t="s">
        <v>38</v>
      </c>
      <c r="T103" t="s">
        <v>529</v>
      </c>
      <c r="U103" t="s">
        <v>38</v>
      </c>
      <c r="W103" t="s">
        <v>530</v>
      </c>
      <c r="X103" t="s">
        <v>38</v>
      </c>
      <c r="AB103" t="s">
        <v>531</v>
      </c>
      <c r="AC103" s="29"/>
      <c r="AD103" t="s">
        <v>45</v>
      </c>
      <c r="AI103" s="33">
        <f>1.10231162684681*AK103</f>
        <v>368.17208336683456</v>
      </c>
      <c r="AJ103" s="119">
        <f t="shared" si="6"/>
        <v>147.26883334673383</v>
      </c>
      <c r="AK103">
        <v>334</v>
      </c>
      <c r="AP103">
        <v>21</v>
      </c>
      <c r="AQ103" s="148" t="s">
        <v>38</v>
      </c>
      <c r="AR103" s="73">
        <v>352.3</v>
      </c>
      <c r="AS103" s="70">
        <v>359.37</v>
      </c>
      <c r="AT103" s="29"/>
      <c r="AU103" s="32">
        <f>1.10231162684681*334</f>
        <v>368.17208336683456</v>
      </c>
      <c r="BA103" s="29"/>
      <c r="BB103" t="s">
        <v>39</v>
      </c>
      <c r="BD103" s="75"/>
      <c r="BE103" s="29"/>
      <c r="BF103" t="s">
        <v>39</v>
      </c>
      <c r="BH103" s="75"/>
      <c r="BI103" s="75"/>
      <c r="BJ103" s="75"/>
      <c r="BK103" s="75"/>
      <c r="BL103" s="75"/>
      <c r="BM103" s="75"/>
      <c r="BN103" s="75"/>
      <c r="BO103" s="75"/>
      <c r="BP103" s="75"/>
      <c r="BQ103" s="29">
        <v>50</v>
      </c>
      <c r="BR103" s="29" t="s">
        <v>71</v>
      </c>
      <c r="BS103" t="s">
        <v>72</v>
      </c>
      <c r="BU103" t="s">
        <v>74</v>
      </c>
      <c r="BV103" t="s">
        <v>75</v>
      </c>
      <c r="CC103" s="29" t="s">
        <v>180</v>
      </c>
      <c r="CJ103" t="s">
        <v>196</v>
      </c>
      <c r="CQ103" t="s">
        <v>181</v>
      </c>
      <c r="CX103" s="29"/>
      <c r="CZ103" t="s">
        <v>105</v>
      </c>
      <c r="DA103" s="29" t="s">
        <v>106</v>
      </c>
      <c r="DD103" s="29"/>
      <c r="DF103" s="68"/>
      <c r="DG103" s="68">
        <v>100</v>
      </c>
      <c r="DH103" s="29" t="s">
        <v>112</v>
      </c>
      <c r="DS103" s="29" t="s">
        <v>123</v>
      </c>
      <c r="EE103" s="29"/>
      <c r="EH103">
        <v>100</v>
      </c>
      <c r="EL103" s="99"/>
      <c r="EM103" s="112"/>
      <c r="EN103" s="112"/>
      <c r="EO103" s="112">
        <v>96</v>
      </c>
      <c r="EP103" s="112"/>
      <c r="EQ103" s="112"/>
      <c r="ES103" s="99">
        <v>172800</v>
      </c>
      <c r="ET103" s="229">
        <f>ES103/AI103</f>
        <v>469.34574294658773</v>
      </c>
      <c r="EV103" s="29">
        <v>20</v>
      </c>
      <c r="EW103">
        <v>70</v>
      </c>
      <c r="EX103" s="29" t="s">
        <v>532</v>
      </c>
      <c r="FD103" t="s">
        <v>533</v>
      </c>
      <c r="FI103" s="29" t="s">
        <v>38</v>
      </c>
      <c r="FL103" s="29" t="s">
        <v>152</v>
      </c>
      <c r="FR103" s="29"/>
      <c r="FU103" t="s">
        <v>161</v>
      </c>
      <c r="FX103" s="29" t="s">
        <v>158</v>
      </c>
      <c r="GD103" s="29"/>
      <c r="GE103" s="29"/>
      <c r="GI103" s="29" t="s">
        <v>534</v>
      </c>
    </row>
    <row r="104" spans="1:191" ht="15.75">
      <c r="A104" s="295" t="s">
        <v>1039</v>
      </c>
      <c r="B104" s="29"/>
      <c r="D104" s="5"/>
      <c r="E104" s="5"/>
      <c r="F104" s="5"/>
      <c r="G104" s="5"/>
      <c r="H104" s="5"/>
      <c r="I104" s="6"/>
      <c r="J104" s="5"/>
      <c r="K104" s="20"/>
      <c r="L104" s="50">
        <v>0.6</v>
      </c>
      <c r="M104" s="50"/>
      <c r="N104" s="61">
        <v>0.6</v>
      </c>
      <c r="O104" s="50"/>
      <c r="Q104" s="67"/>
      <c r="AC104" s="29"/>
      <c r="AI104" s="56">
        <v>600</v>
      </c>
      <c r="AJ104" s="119">
        <f t="shared" si="6"/>
        <v>1000</v>
      </c>
      <c r="AK104" s="32">
        <f>AI104*0.907185</f>
        <v>544.31100000000004</v>
      </c>
      <c r="AQ104" s="148"/>
      <c r="AR104" s="73"/>
      <c r="AS104" s="70"/>
      <c r="AT104" s="88">
        <f>AI104</f>
        <v>600</v>
      </c>
      <c r="AZ104" s="34" t="s">
        <v>1120</v>
      </c>
      <c r="BA104" s="29"/>
      <c r="BD104" s="75"/>
      <c r="BE104" s="29"/>
      <c r="BH104" s="75"/>
      <c r="BI104" s="75"/>
      <c r="BJ104" s="75"/>
      <c r="BK104" s="75"/>
      <c r="BL104" s="75"/>
      <c r="BM104" s="75"/>
      <c r="BN104" s="75"/>
      <c r="BO104" s="75"/>
      <c r="BP104" s="75"/>
      <c r="BQ104" s="29"/>
      <c r="BR104" s="29"/>
      <c r="CC104" s="29"/>
      <c r="CX104" s="29"/>
      <c r="DA104" s="29"/>
      <c r="DD104" s="29"/>
      <c r="DH104" s="29"/>
      <c r="DS104" s="29"/>
      <c r="EE104" s="29"/>
      <c r="EL104" s="99"/>
      <c r="EM104" s="112"/>
      <c r="EN104" s="112"/>
      <c r="EO104" s="112"/>
      <c r="EP104" s="112"/>
      <c r="EQ104" s="112"/>
      <c r="ES104" s="99"/>
      <c r="ET104" s="229"/>
      <c r="EV104" s="29"/>
      <c r="EX104" s="29"/>
      <c r="FI104" s="29"/>
      <c r="FL104" s="29"/>
      <c r="FR104" s="29"/>
      <c r="FX104" s="29"/>
      <c r="GD104" s="29"/>
      <c r="GE104" s="29"/>
      <c r="GI104" s="29"/>
    </row>
    <row r="105" spans="1:191" ht="15.75">
      <c r="A105" s="297" t="s">
        <v>1040</v>
      </c>
      <c r="B105" s="29"/>
      <c r="D105" s="5"/>
      <c r="E105" s="5"/>
      <c r="F105" s="5"/>
      <c r="G105" s="5"/>
      <c r="H105" s="5"/>
      <c r="I105" s="6"/>
      <c r="J105" s="5"/>
      <c r="K105" s="20"/>
      <c r="L105" s="50">
        <v>0.02</v>
      </c>
      <c r="M105" s="50"/>
      <c r="N105" s="61">
        <v>0.02</v>
      </c>
      <c r="O105" s="50"/>
      <c r="Q105" s="67"/>
      <c r="AC105" s="29"/>
      <c r="AI105" s="56">
        <v>3.1</v>
      </c>
      <c r="AJ105" s="119">
        <f t="shared" si="6"/>
        <v>155</v>
      </c>
      <c r="AK105" s="32">
        <f>AI105*0.907185</f>
        <v>2.8122735000000003</v>
      </c>
      <c r="AQ105" s="148"/>
      <c r="AR105" s="73"/>
      <c r="AS105" s="70"/>
      <c r="AT105" s="29"/>
      <c r="AU105" s="34">
        <f>AI105</f>
        <v>3.1</v>
      </c>
      <c r="AZ105" s="34" t="s">
        <v>1119</v>
      </c>
      <c r="BA105" s="29"/>
      <c r="BD105" s="75"/>
      <c r="BE105" s="29"/>
      <c r="BH105" s="75"/>
      <c r="BI105" s="75"/>
      <c r="BJ105" s="75"/>
      <c r="BK105" s="75"/>
      <c r="BL105" s="75"/>
      <c r="BM105" s="75"/>
      <c r="BN105" s="75"/>
      <c r="BO105" s="75"/>
      <c r="BP105" s="75"/>
      <c r="BQ105" s="29"/>
      <c r="BR105" s="29"/>
      <c r="CC105" s="29"/>
      <c r="CX105" s="29"/>
      <c r="DA105" s="29"/>
      <c r="DD105" s="29"/>
      <c r="DH105" s="29"/>
      <c r="DS105" s="29"/>
      <c r="EE105" s="29"/>
      <c r="EL105" s="99"/>
      <c r="EM105" s="112"/>
      <c r="EN105" s="112"/>
      <c r="EO105" s="112"/>
      <c r="EP105" s="112"/>
      <c r="EQ105" s="112"/>
      <c r="ES105" s="99"/>
      <c r="ET105" s="229"/>
      <c r="EV105" s="29"/>
      <c r="EX105" s="29"/>
      <c r="FI105" s="29"/>
      <c r="FL105" s="29"/>
      <c r="FR105" s="29"/>
      <c r="FX105" s="29"/>
      <c r="GD105" s="29"/>
      <c r="GE105" s="29"/>
      <c r="GI105" s="29"/>
    </row>
    <row r="106" spans="1:191" ht="31.5">
      <c r="A106" s="228" t="s">
        <v>1335</v>
      </c>
      <c r="B106" s="29" t="s">
        <v>628</v>
      </c>
      <c r="D106" s="5"/>
      <c r="E106" s="5" t="s">
        <v>894</v>
      </c>
      <c r="F106" s="5"/>
      <c r="G106" s="5" t="s">
        <v>895</v>
      </c>
      <c r="H106" s="5" t="s">
        <v>714</v>
      </c>
      <c r="I106" s="6" t="s">
        <v>896</v>
      </c>
      <c r="J106" s="5"/>
      <c r="K106" s="20"/>
      <c r="L106">
        <v>0.16900000000000001</v>
      </c>
      <c r="M106">
        <v>0.16900000000000001</v>
      </c>
      <c r="N106" s="4">
        <v>0.24</v>
      </c>
      <c r="O106">
        <v>0.24</v>
      </c>
      <c r="P106">
        <v>1135</v>
      </c>
      <c r="Q106" s="67">
        <f>L106*1000000/P106</f>
        <v>148.89867841409691</v>
      </c>
      <c r="S106" t="s">
        <v>39</v>
      </c>
      <c r="V106" t="s">
        <v>39</v>
      </c>
      <c r="Y106" t="s">
        <v>39</v>
      </c>
      <c r="AA106" t="s">
        <v>43</v>
      </c>
      <c r="AC106" s="29"/>
      <c r="AH106" t="s">
        <v>49</v>
      </c>
      <c r="AI106" s="33">
        <f>8.35/2000*AP106/100*AO106</f>
        <v>8.8706642500000008</v>
      </c>
      <c r="AJ106" s="119">
        <f t="shared" ref="AJ106:AJ133" si="11">AI106/L106</f>
        <v>52.489137573964499</v>
      </c>
      <c r="AK106" s="32">
        <f>AI106*0.907185</f>
        <v>8.0473335476362511</v>
      </c>
      <c r="AO106">
        <v>30353</v>
      </c>
      <c r="AP106">
        <v>7</v>
      </c>
      <c r="AQ106" s="148"/>
      <c r="AR106" s="73"/>
      <c r="AS106" s="70"/>
      <c r="AT106" s="29"/>
      <c r="AU106" s="82"/>
      <c r="AY106" s="84">
        <f>AI106</f>
        <v>8.8706642500000008</v>
      </c>
      <c r="AZ106" s="81" t="s">
        <v>426</v>
      </c>
      <c r="BA106" s="29"/>
      <c r="BB106" t="s">
        <v>39</v>
      </c>
      <c r="BD106" s="75"/>
      <c r="BE106" s="29"/>
      <c r="BF106" t="s">
        <v>39</v>
      </c>
      <c r="BH106" s="75"/>
      <c r="BI106" s="75"/>
      <c r="BJ106" s="75"/>
      <c r="BK106" s="75"/>
      <c r="BL106" s="75"/>
      <c r="BM106" s="75"/>
      <c r="BN106" s="75"/>
      <c r="BO106" s="75"/>
      <c r="BP106" s="75"/>
      <c r="BQ106" s="29"/>
      <c r="BR106" s="29" t="s">
        <v>71</v>
      </c>
      <c r="BT106" t="s">
        <v>73</v>
      </c>
      <c r="CC106" s="29"/>
      <c r="CD106" t="s">
        <v>170</v>
      </c>
      <c r="CJ106" t="s">
        <v>196</v>
      </c>
      <c r="CQ106" t="s">
        <v>181</v>
      </c>
      <c r="CX106" s="29"/>
      <c r="CZ106" t="s">
        <v>105</v>
      </c>
      <c r="DA106" s="29"/>
      <c r="DC106" t="s">
        <v>43</v>
      </c>
      <c r="DD106" s="29"/>
      <c r="DH106" s="29"/>
      <c r="DS106" s="29"/>
      <c r="DZ106" t="s">
        <v>130</v>
      </c>
      <c r="EE106" s="29"/>
      <c r="EK106" t="s">
        <v>426</v>
      </c>
      <c r="EL106" s="99"/>
      <c r="EM106" s="112"/>
      <c r="EN106" s="112"/>
      <c r="EO106" s="112"/>
      <c r="EP106" s="112"/>
      <c r="EQ106" s="112"/>
      <c r="ER106" t="s">
        <v>427</v>
      </c>
      <c r="ES106" s="99">
        <v>3435</v>
      </c>
      <c r="ET106" s="229">
        <f>ES106/AI106</f>
        <v>387.23142970944929</v>
      </c>
      <c r="EV106" s="29">
        <v>25</v>
      </c>
      <c r="EW106">
        <v>50</v>
      </c>
      <c r="EX106" s="29"/>
      <c r="FH106" t="s">
        <v>428</v>
      </c>
      <c r="FI106" s="29" t="s">
        <v>38</v>
      </c>
      <c r="FL106" s="29"/>
      <c r="FM106" t="s">
        <v>153</v>
      </c>
      <c r="FR106" s="29"/>
      <c r="FU106" t="s">
        <v>161</v>
      </c>
      <c r="FX106" s="29"/>
      <c r="FY106" t="s">
        <v>159</v>
      </c>
      <c r="GD106" s="29"/>
      <c r="GE106" s="29"/>
      <c r="GI106" s="29"/>
    </row>
    <row r="107" spans="1:191" ht="15.75">
      <c r="A107" s="228" t="s">
        <v>691</v>
      </c>
      <c r="B107" s="29"/>
      <c r="D107" s="5"/>
      <c r="E107" s="5" t="s">
        <v>897</v>
      </c>
      <c r="F107" s="5"/>
      <c r="G107" s="5" t="s">
        <v>616</v>
      </c>
      <c r="H107" s="5" t="s">
        <v>714</v>
      </c>
      <c r="I107" s="6" t="s">
        <v>898</v>
      </c>
      <c r="J107" s="14"/>
      <c r="K107" s="20"/>
      <c r="L107" s="51">
        <v>1.32</v>
      </c>
      <c r="M107" s="51"/>
      <c r="N107" s="63">
        <v>1.32</v>
      </c>
      <c r="O107" s="51"/>
      <c r="Q107" s="67"/>
      <c r="AC107" s="29"/>
      <c r="AI107" s="60">
        <v>0</v>
      </c>
      <c r="AJ107" s="119">
        <f t="shared" si="11"/>
        <v>0</v>
      </c>
      <c r="AK107" s="32">
        <f>AI107*0.907185</f>
        <v>0</v>
      </c>
      <c r="AQ107" s="148"/>
      <c r="AR107" s="73"/>
      <c r="AS107" s="70"/>
      <c r="AT107" s="29"/>
      <c r="AZ107" t="s">
        <v>1060</v>
      </c>
      <c r="BA107" s="29"/>
      <c r="BD107" s="75"/>
      <c r="BE107" s="29"/>
      <c r="BH107" s="75"/>
      <c r="BI107" s="75"/>
      <c r="BJ107" s="75"/>
      <c r="BK107" s="75"/>
      <c r="BL107" s="75"/>
      <c r="BM107" s="75"/>
      <c r="BN107" s="75"/>
      <c r="BO107" s="75"/>
      <c r="BP107" s="75"/>
      <c r="BQ107" s="29"/>
      <c r="BR107" s="29"/>
      <c r="CC107" s="29"/>
      <c r="CX107" s="29"/>
      <c r="DA107" s="29"/>
      <c r="DD107" s="29"/>
      <c r="DH107" s="29"/>
      <c r="DS107" s="29"/>
      <c r="EE107" s="29"/>
      <c r="EL107" s="99"/>
      <c r="EM107" s="112"/>
      <c r="EN107" s="112"/>
      <c r="EO107" s="112"/>
      <c r="EP107" s="112"/>
      <c r="EQ107" s="112"/>
      <c r="ES107" s="99"/>
      <c r="ET107" s="229"/>
      <c r="EV107" s="29"/>
      <c r="EX107" s="29"/>
      <c r="FI107" s="29"/>
      <c r="FL107" s="29"/>
      <c r="FR107" s="29"/>
      <c r="FX107" s="29"/>
      <c r="GD107" s="29"/>
      <c r="GE107" s="29"/>
      <c r="GI107" s="29"/>
    </row>
    <row r="108" spans="1:191" ht="15.75">
      <c r="A108" s="295" t="s">
        <v>1041</v>
      </c>
      <c r="B108" s="29"/>
      <c r="D108" s="5"/>
      <c r="E108" s="5"/>
      <c r="F108" s="5"/>
      <c r="G108" s="5"/>
      <c r="H108" s="5"/>
      <c r="I108" s="6"/>
      <c r="J108" s="14"/>
      <c r="K108" s="20"/>
      <c r="L108" s="51">
        <v>0.84</v>
      </c>
      <c r="M108" s="51"/>
      <c r="N108" s="63">
        <v>1</v>
      </c>
      <c r="O108" s="51"/>
      <c r="Q108" s="67"/>
      <c r="AC108" s="29"/>
      <c r="AI108" s="33">
        <f>1.10231162684681*AK108</f>
        <v>280.53830903251315</v>
      </c>
      <c r="AJ108" s="119">
        <f t="shared" si="11"/>
        <v>333.97417741965853</v>
      </c>
      <c r="AK108" s="3">
        <v>254.5</v>
      </c>
      <c r="AQ108" s="148" t="s">
        <v>38</v>
      </c>
      <c r="AR108" s="73"/>
      <c r="AS108" s="70">
        <v>254.5</v>
      </c>
      <c r="AT108" s="29"/>
      <c r="AV108" s="34">
        <f>AI108</f>
        <v>280.53830903251315</v>
      </c>
      <c r="AZ108" s="34" t="s">
        <v>1121</v>
      </c>
      <c r="BA108" s="29"/>
      <c r="BD108" s="75"/>
      <c r="BE108" s="29"/>
      <c r="BH108" s="75"/>
      <c r="BI108" s="75"/>
      <c r="BJ108" s="75"/>
      <c r="BK108" s="75"/>
      <c r="BL108" s="75"/>
      <c r="BM108" s="75"/>
      <c r="BN108" s="75"/>
      <c r="BO108" s="75"/>
      <c r="BP108" s="75"/>
      <c r="BQ108" s="29"/>
      <c r="BR108" s="29"/>
      <c r="CC108" s="29"/>
      <c r="CX108" s="29"/>
      <c r="DA108" s="29"/>
      <c r="DD108" s="29"/>
      <c r="DH108" s="29"/>
      <c r="DS108" s="29"/>
      <c r="EE108" s="29"/>
      <c r="EL108" s="99"/>
      <c r="EM108" s="112"/>
      <c r="EN108" s="112"/>
      <c r="EO108" s="112"/>
      <c r="EP108" s="112"/>
      <c r="EQ108" s="112"/>
      <c r="ES108" s="99"/>
      <c r="ET108" s="229"/>
      <c r="EV108" s="29"/>
      <c r="EX108" s="29"/>
      <c r="FI108" s="29"/>
      <c r="FL108" s="29"/>
      <c r="FR108" s="29"/>
      <c r="FX108" s="29"/>
      <c r="GD108" s="29"/>
      <c r="GE108" s="29"/>
      <c r="GI108" s="29"/>
    </row>
    <row r="109" spans="1:191" ht="31.5">
      <c r="A109" s="228" t="s">
        <v>692</v>
      </c>
      <c r="B109" s="29" t="s">
        <v>186</v>
      </c>
      <c r="D109" s="14"/>
      <c r="E109" s="14" t="s">
        <v>899</v>
      </c>
      <c r="F109" s="5"/>
      <c r="G109" s="14" t="s">
        <v>900</v>
      </c>
      <c r="H109" s="14" t="s">
        <v>714</v>
      </c>
      <c r="I109" s="15" t="s">
        <v>901</v>
      </c>
      <c r="J109" s="14"/>
      <c r="K109" s="21"/>
      <c r="L109">
        <v>3.9</v>
      </c>
      <c r="M109">
        <v>3.9</v>
      </c>
      <c r="N109" s="4">
        <v>4.2</v>
      </c>
      <c r="O109">
        <v>4.2</v>
      </c>
      <c r="P109">
        <v>18165</v>
      </c>
      <c r="Q109" s="67">
        <f t="shared" ref="Q109:Q116" si="12">L109*1000000/P109</f>
        <v>214.69859620148637</v>
      </c>
      <c r="S109" t="s">
        <v>39</v>
      </c>
      <c r="V109" t="s">
        <v>39</v>
      </c>
      <c r="Y109" t="s">
        <v>39</v>
      </c>
      <c r="AC109" s="29"/>
      <c r="AD109" t="s">
        <v>45</v>
      </c>
      <c r="AI109" s="33">
        <f>1.10231162684681*AK109</f>
        <v>528.00726925962203</v>
      </c>
      <c r="AJ109" s="119">
        <f t="shared" si="11"/>
        <v>135.38647929733898</v>
      </c>
      <c r="AK109">
        <v>479</v>
      </c>
      <c r="AP109">
        <v>25</v>
      </c>
      <c r="AQ109" s="148" t="s">
        <v>38</v>
      </c>
      <c r="AR109" s="73">
        <v>542</v>
      </c>
      <c r="AS109" s="70">
        <v>2917</v>
      </c>
      <c r="AT109" s="33">
        <f>1.10231162684681*136</f>
        <v>149.91438125116616</v>
      </c>
      <c r="AU109" s="32">
        <f>1.10231162684681*343</f>
        <v>378.09288800845587</v>
      </c>
      <c r="BA109" s="29"/>
      <c r="BB109" t="s">
        <v>39</v>
      </c>
      <c r="BD109" s="75"/>
      <c r="BE109" s="29"/>
      <c r="BF109" t="s">
        <v>39</v>
      </c>
      <c r="BH109" s="75"/>
      <c r="BI109" s="75"/>
      <c r="BJ109" s="75"/>
      <c r="BK109" s="75"/>
      <c r="BL109" s="75"/>
      <c r="BM109" s="75"/>
      <c r="BN109" s="75"/>
      <c r="BO109" s="75"/>
      <c r="BP109" s="75"/>
      <c r="BQ109" s="29">
        <v>60</v>
      </c>
      <c r="BR109" s="29" t="s">
        <v>71</v>
      </c>
      <c r="BS109" t="s">
        <v>72</v>
      </c>
      <c r="BT109" t="s">
        <v>73</v>
      </c>
      <c r="BX109" t="s">
        <v>77</v>
      </c>
      <c r="CC109" s="29" t="s">
        <v>180</v>
      </c>
      <c r="CL109" t="s">
        <v>171</v>
      </c>
      <c r="CU109" t="s">
        <v>187</v>
      </c>
      <c r="CX109" s="29" t="s">
        <v>103</v>
      </c>
      <c r="DA109" s="29" t="s">
        <v>106</v>
      </c>
      <c r="DD109" s="29"/>
      <c r="DE109">
        <v>25</v>
      </c>
      <c r="DG109">
        <v>75</v>
      </c>
      <c r="DH109" s="29"/>
      <c r="DL109" t="s">
        <v>116</v>
      </c>
      <c r="DS109" s="29" t="s">
        <v>123</v>
      </c>
      <c r="DY109" t="s">
        <v>129</v>
      </c>
      <c r="EE109" s="29">
        <v>25</v>
      </c>
      <c r="EH109">
        <v>75</v>
      </c>
      <c r="EL109" s="99"/>
      <c r="EM109" s="112"/>
      <c r="EN109" s="112"/>
      <c r="EO109" s="112">
        <v>125.63</v>
      </c>
      <c r="EP109" s="112"/>
      <c r="EQ109" s="112"/>
      <c r="ES109" s="99">
        <v>287070</v>
      </c>
      <c r="ET109" s="229">
        <f>ES109/AI109</f>
        <v>543.68569660514879</v>
      </c>
      <c r="EV109" s="29">
        <v>10</v>
      </c>
      <c r="EW109">
        <v>15</v>
      </c>
      <c r="EX109" s="29" t="s">
        <v>188</v>
      </c>
      <c r="FA109" t="s">
        <v>189</v>
      </c>
      <c r="FI109" s="29" t="s">
        <v>38</v>
      </c>
      <c r="FL109" s="29" t="s">
        <v>152</v>
      </c>
      <c r="FR109" s="29"/>
      <c r="FU109" t="s">
        <v>161</v>
      </c>
      <c r="FX109" s="29" t="s">
        <v>158</v>
      </c>
      <c r="GD109" s="29"/>
      <c r="GE109" s="29"/>
      <c r="GI109" s="29"/>
    </row>
    <row r="110" spans="1:191" ht="15.75">
      <c r="A110" s="228" t="s">
        <v>903</v>
      </c>
      <c r="B110" s="29" t="s">
        <v>582</v>
      </c>
      <c r="D110" s="14"/>
      <c r="E110" s="5" t="s">
        <v>902</v>
      </c>
      <c r="F110" s="5"/>
      <c r="G110" s="5" t="s">
        <v>903</v>
      </c>
      <c r="H110" s="5" t="s">
        <v>714</v>
      </c>
      <c r="I110" s="6" t="s">
        <v>904</v>
      </c>
      <c r="J110" s="14"/>
      <c r="K110" s="21"/>
      <c r="L110">
        <v>0.50600000000000001</v>
      </c>
      <c r="M110">
        <v>0.50600000000000001</v>
      </c>
      <c r="N110" s="4">
        <v>0.85</v>
      </c>
      <c r="O110">
        <v>0.85</v>
      </c>
      <c r="P110">
        <v>3800</v>
      </c>
      <c r="Q110" s="67">
        <f t="shared" si="12"/>
        <v>133.15789473684211</v>
      </c>
      <c r="S110" t="s">
        <v>39</v>
      </c>
      <c r="T110" t="s">
        <v>583</v>
      </c>
      <c r="V110" t="s">
        <v>39</v>
      </c>
      <c r="W110" t="s">
        <v>584</v>
      </c>
      <c r="X110" t="s">
        <v>38</v>
      </c>
      <c r="AB110" t="s">
        <v>585</v>
      </c>
      <c r="AC110" s="29"/>
      <c r="AD110" t="s">
        <v>45</v>
      </c>
      <c r="AI110" s="33">
        <f>1.10231162684681*AK110</f>
        <v>24.250855790629821</v>
      </c>
      <c r="AJ110" s="119">
        <f t="shared" si="11"/>
        <v>47.926592471600436</v>
      </c>
      <c r="AK110">
        <v>22</v>
      </c>
      <c r="AP110">
        <v>3</v>
      </c>
      <c r="AQ110" s="148" t="s">
        <v>38</v>
      </c>
      <c r="AR110" s="73">
        <v>85</v>
      </c>
      <c r="AS110" s="70"/>
      <c r="AT110" s="29"/>
      <c r="AY110" s="81">
        <v>22</v>
      </c>
      <c r="AZ110" s="81" t="s">
        <v>586</v>
      </c>
      <c r="BA110" s="29"/>
      <c r="BB110" t="s">
        <v>39</v>
      </c>
      <c r="BD110" s="75">
        <v>0</v>
      </c>
      <c r="BE110" s="29"/>
      <c r="BF110" t="s">
        <v>39</v>
      </c>
      <c r="BH110" s="75">
        <v>0</v>
      </c>
      <c r="BI110" s="75">
        <v>0</v>
      </c>
      <c r="BJ110" s="75">
        <v>0</v>
      </c>
      <c r="BK110" s="75">
        <v>0</v>
      </c>
      <c r="BL110" s="75">
        <v>0</v>
      </c>
      <c r="BM110" s="75">
        <v>0</v>
      </c>
      <c r="BN110" s="75">
        <v>0</v>
      </c>
      <c r="BO110" s="75">
        <v>0</v>
      </c>
      <c r="BP110" s="75"/>
      <c r="BQ110" s="29">
        <v>0</v>
      </c>
      <c r="BR110" s="29"/>
      <c r="BS110" t="s">
        <v>72</v>
      </c>
      <c r="CC110" s="29" t="s">
        <v>180</v>
      </c>
      <c r="CK110" t="s">
        <v>170</v>
      </c>
      <c r="CQ110" t="s">
        <v>181</v>
      </c>
      <c r="CX110" s="29"/>
      <c r="CZ110" t="s">
        <v>105</v>
      </c>
      <c r="DA110" s="29" t="s">
        <v>106</v>
      </c>
      <c r="DD110" s="29"/>
      <c r="DG110">
        <v>100</v>
      </c>
      <c r="DH110" s="29"/>
      <c r="DO110" t="s">
        <v>119</v>
      </c>
      <c r="DS110" s="29"/>
      <c r="EC110" t="s">
        <v>587</v>
      </c>
      <c r="ED110" t="s">
        <v>588</v>
      </c>
      <c r="EE110" s="29"/>
      <c r="EH110">
        <v>100</v>
      </c>
      <c r="EL110" s="99"/>
      <c r="EM110" s="112"/>
      <c r="EN110" s="112"/>
      <c r="EO110" s="112"/>
      <c r="EP110" s="112"/>
      <c r="EQ110" s="112"/>
      <c r="ER110" t="s">
        <v>589</v>
      </c>
      <c r="ES110" s="99">
        <v>101000</v>
      </c>
      <c r="ET110" s="229">
        <f>ES110/AI110</f>
        <v>4164.8014763678957</v>
      </c>
      <c r="EU110" t="s">
        <v>1192</v>
      </c>
      <c r="EV110" s="29">
        <v>20</v>
      </c>
      <c r="EW110">
        <v>50</v>
      </c>
      <c r="EX110" s="29" t="s">
        <v>1309</v>
      </c>
      <c r="FA110" t="s">
        <v>590</v>
      </c>
      <c r="FB110" t="s">
        <v>591</v>
      </c>
      <c r="FC110" t="s">
        <v>592</v>
      </c>
      <c r="FD110" t="s">
        <v>593</v>
      </c>
      <c r="FE110" t="s">
        <v>594</v>
      </c>
      <c r="FF110" t="s">
        <v>595</v>
      </c>
      <c r="FG110" t="s">
        <v>596</v>
      </c>
      <c r="FH110" t="s">
        <v>597</v>
      </c>
      <c r="FI110" s="29" t="s">
        <v>38</v>
      </c>
      <c r="FL110" s="29" t="s">
        <v>152</v>
      </c>
      <c r="FQ110" t="s">
        <v>598</v>
      </c>
      <c r="FR110" s="29"/>
      <c r="FT110" t="s">
        <v>160</v>
      </c>
      <c r="FW110" s="40" t="s">
        <v>599</v>
      </c>
      <c r="FX110" s="29"/>
      <c r="FZ110" t="s">
        <v>160</v>
      </c>
      <c r="GC110" t="s">
        <v>600</v>
      </c>
      <c r="GD110" s="29"/>
      <c r="GE110" s="29"/>
      <c r="GI110" s="29" t="s">
        <v>601</v>
      </c>
    </row>
    <row r="111" spans="1:191" ht="30">
      <c r="A111" s="228" t="s">
        <v>693</v>
      </c>
      <c r="B111" s="29" t="s">
        <v>384</v>
      </c>
      <c r="D111" s="5"/>
      <c r="E111" s="5" t="s">
        <v>905</v>
      </c>
      <c r="F111" s="5"/>
      <c r="G111" s="5" t="s">
        <v>906</v>
      </c>
      <c r="H111" s="5" t="s">
        <v>714</v>
      </c>
      <c r="I111" s="6" t="s">
        <v>907</v>
      </c>
      <c r="J111" s="5"/>
      <c r="K111" s="20"/>
      <c r="L111">
        <v>28.8</v>
      </c>
      <c r="M111">
        <v>28.8</v>
      </c>
      <c r="N111" s="4">
        <v>29.7</v>
      </c>
      <c r="O111">
        <v>29.7</v>
      </c>
      <c r="P111">
        <v>181000</v>
      </c>
      <c r="Q111" s="67">
        <f t="shared" si="12"/>
        <v>159.11602209944752</v>
      </c>
      <c r="S111" t="s">
        <v>39</v>
      </c>
      <c r="V111" t="s">
        <v>39</v>
      </c>
      <c r="X111" t="s">
        <v>38</v>
      </c>
      <c r="AC111" s="29" t="s">
        <v>44</v>
      </c>
      <c r="AI111" s="29">
        <v>6968</v>
      </c>
      <c r="AJ111" s="119">
        <f t="shared" si="11"/>
        <v>241.94444444444443</v>
      </c>
      <c r="AK111" s="32">
        <f>AI111*0.907185</f>
        <v>6321.2650800000001</v>
      </c>
      <c r="AP111">
        <v>23</v>
      </c>
      <c r="AQ111" s="148"/>
      <c r="AR111" s="73"/>
      <c r="AS111" s="70"/>
      <c r="AT111" s="29"/>
      <c r="AU111">
        <v>3010</v>
      </c>
      <c r="AV111">
        <v>3958</v>
      </c>
      <c r="BA111" s="29" t="s">
        <v>38</v>
      </c>
      <c r="BD111" s="75">
        <v>2608000</v>
      </c>
      <c r="BE111" s="29" t="s">
        <v>38</v>
      </c>
      <c r="BG111" t="s">
        <v>385</v>
      </c>
      <c r="BH111" s="75"/>
      <c r="BI111" s="75"/>
      <c r="BJ111" s="75"/>
      <c r="BK111" s="75"/>
      <c r="BL111" s="75"/>
      <c r="BM111" s="75"/>
      <c r="BN111" s="75"/>
      <c r="BO111" s="75"/>
      <c r="BP111" s="75" t="s">
        <v>386</v>
      </c>
      <c r="BQ111" s="29">
        <v>59</v>
      </c>
      <c r="BR111" s="29" t="s">
        <v>71</v>
      </c>
      <c r="BS111" t="s">
        <v>72</v>
      </c>
      <c r="CC111" s="29" t="s">
        <v>180</v>
      </c>
      <c r="CL111" t="s">
        <v>171</v>
      </c>
      <c r="CU111" t="s">
        <v>187</v>
      </c>
      <c r="CX111" s="29"/>
      <c r="CY111" t="s">
        <v>104</v>
      </c>
      <c r="DA111" s="29" t="s">
        <v>106</v>
      </c>
      <c r="DD111" s="29"/>
      <c r="DH111" s="29"/>
      <c r="DS111" s="29" t="s">
        <v>123</v>
      </c>
      <c r="DY111" t="s">
        <v>129</v>
      </c>
      <c r="EE111" s="29"/>
      <c r="EH111">
        <v>43</v>
      </c>
      <c r="EI111">
        <v>57</v>
      </c>
      <c r="EL111" s="99"/>
      <c r="EM111" s="112"/>
      <c r="EN111" s="112"/>
      <c r="EO111" s="112">
        <v>115</v>
      </c>
      <c r="EP111" s="112">
        <v>115</v>
      </c>
      <c r="EQ111" s="112"/>
      <c r="ES111" s="99">
        <v>3510294</v>
      </c>
      <c r="ET111" s="229">
        <f>ES111/AI111</f>
        <v>503.77353616532719</v>
      </c>
      <c r="EV111" s="29">
        <v>4</v>
      </c>
      <c r="EW111">
        <v>3</v>
      </c>
      <c r="EX111" s="29"/>
      <c r="FD111" t="s">
        <v>387</v>
      </c>
      <c r="FE111" t="s">
        <v>388</v>
      </c>
      <c r="FI111" s="29" t="s">
        <v>38</v>
      </c>
      <c r="FL111" s="29"/>
      <c r="FN111" t="s">
        <v>154</v>
      </c>
      <c r="FQ111" t="s">
        <v>389</v>
      </c>
      <c r="FR111" s="29"/>
      <c r="FU111" t="s">
        <v>161</v>
      </c>
      <c r="FX111" s="29"/>
      <c r="FZ111" t="s">
        <v>160</v>
      </c>
      <c r="GC111" t="s">
        <v>390</v>
      </c>
      <c r="GD111" s="29"/>
      <c r="GE111" s="29"/>
      <c r="GI111" s="29"/>
    </row>
    <row r="112" spans="1:191" ht="15.75">
      <c r="A112" s="228" t="s">
        <v>694</v>
      </c>
      <c r="B112" s="29" t="s">
        <v>464</v>
      </c>
      <c r="C112" s="103"/>
      <c r="D112" s="5"/>
      <c r="E112" s="5" t="s">
        <v>908</v>
      </c>
      <c r="F112" s="5"/>
      <c r="G112" s="5" t="s">
        <v>745</v>
      </c>
      <c r="H112" s="5" t="s">
        <v>714</v>
      </c>
      <c r="I112" s="6" t="s">
        <v>909</v>
      </c>
      <c r="J112" s="5"/>
      <c r="K112" s="23"/>
      <c r="L112" s="103">
        <v>2.5</v>
      </c>
      <c r="M112" s="103">
        <v>2.5</v>
      </c>
      <c r="N112" s="105">
        <v>4.8</v>
      </c>
      <c r="O112" s="103">
        <v>4.8</v>
      </c>
      <c r="P112" s="103">
        <v>17500</v>
      </c>
      <c r="Q112" s="67">
        <f t="shared" si="12"/>
        <v>142.85714285714286</v>
      </c>
      <c r="R112" s="103"/>
      <c r="S112" s="103" t="s">
        <v>39</v>
      </c>
      <c r="T112" s="103"/>
      <c r="U112" s="103"/>
      <c r="V112" s="103" t="s">
        <v>39</v>
      </c>
      <c r="W112" s="103"/>
      <c r="X112" s="103" t="s">
        <v>38</v>
      </c>
      <c r="Y112" s="103"/>
      <c r="Z112" s="103"/>
      <c r="AA112" s="103"/>
      <c r="AB112" s="103"/>
      <c r="AC112" s="29"/>
      <c r="AD112" s="103"/>
      <c r="AE112" s="103" t="s">
        <v>46</v>
      </c>
      <c r="AF112" s="103"/>
      <c r="AG112" s="103"/>
      <c r="AH112" s="103"/>
      <c r="AI112" s="33">
        <f>AL112*AP112/100</f>
        <v>479.82</v>
      </c>
      <c r="AJ112" s="119">
        <f t="shared" si="11"/>
        <v>191.928</v>
      </c>
      <c r="AK112" s="32">
        <f>AI112*0.907185</f>
        <v>435.28550669999998</v>
      </c>
      <c r="AL112" s="103">
        <v>2181</v>
      </c>
      <c r="AM112" s="103"/>
      <c r="AN112" s="103"/>
      <c r="AO112" s="103"/>
      <c r="AP112" s="103">
        <v>22</v>
      </c>
      <c r="AQ112" s="148" t="s">
        <v>38</v>
      </c>
      <c r="AR112" s="73">
        <v>535.4</v>
      </c>
      <c r="AS112" s="70">
        <v>493</v>
      </c>
      <c r="AT112" s="29"/>
      <c r="AU112" s="106">
        <f>AI112</f>
        <v>479.82</v>
      </c>
      <c r="AV112" s="103"/>
      <c r="AW112" s="103"/>
      <c r="AX112" s="103"/>
      <c r="AY112" s="103"/>
      <c r="AZ112" s="103"/>
      <c r="BA112" s="29" t="s">
        <v>38</v>
      </c>
      <c r="BB112" s="103"/>
      <c r="BC112" s="103" t="s">
        <v>465</v>
      </c>
      <c r="BD112" s="107">
        <v>1670</v>
      </c>
      <c r="BE112" s="29"/>
      <c r="BF112" s="103" t="s">
        <v>39</v>
      </c>
      <c r="BG112" s="103"/>
      <c r="BH112" s="107"/>
      <c r="BI112" s="107"/>
      <c r="BJ112" s="107"/>
      <c r="BK112" s="107"/>
      <c r="BL112" s="107"/>
      <c r="BM112" s="107"/>
      <c r="BN112" s="107"/>
      <c r="BO112" s="107"/>
      <c r="BP112" s="107"/>
      <c r="BQ112" s="29">
        <v>60</v>
      </c>
      <c r="BR112" s="29"/>
      <c r="BS112" s="103" t="s">
        <v>72</v>
      </c>
      <c r="BT112" s="103"/>
      <c r="BU112" s="103"/>
      <c r="BV112" s="103"/>
      <c r="BW112" s="103"/>
      <c r="BX112" s="103"/>
      <c r="BY112" s="103"/>
      <c r="BZ112" s="103"/>
      <c r="CA112" s="103"/>
      <c r="CB112" s="103"/>
      <c r="CC112" s="29" t="s">
        <v>180</v>
      </c>
      <c r="CD112" s="103"/>
      <c r="CE112" s="103"/>
      <c r="CF112" s="103"/>
      <c r="CG112" s="103"/>
      <c r="CH112" s="103"/>
      <c r="CI112" s="103"/>
      <c r="CJ112" s="103" t="s">
        <v>196</v>
      </c>
      <c r="CK112" s="103"/>
      <c r="CL112" s="103"/>
      <c r="CM112" s="103"/>
      <c r="CN112" s="103"/>
      <c r="CO112" s="103"/>
      <c r="CP112" s="103"/>
      <c r="CQ112" s="103"/>
      <c r="CR112" s="103" t="s">
        <v>170</v>
      </c>
      <c r="CS112" s="103"/>
      <c r="CT112" s="103"/>
      <c r="CU112" s="103"/>
      <c r="CV112" s="103"/>
      <c r="CW112" s="103"/>
      <c r="CX112" s="29"/>
      <c r="CY112" s="103" t="s">
        <v>104</v>
      </c>
      <c r="CZ112" s="103"/>
      <c r="DA112" s="29"/>
      <c r="DB112" s="103"/>
      <c r="DC112" s="103" t="s">
        <v>43</v>
      </c>
      <c r="DD112" s="29"/>
      <c r="DE112" s="103"/>
      <c r="DF112" s="103"/>
      <c r="DG112" s="103"/>
      <c r="DH112" s="29"/>
      <c r="DI112" s="103"/>
      <c r="DJ112" s="103"/>
      <c r="DK112" s="103"/>
      <c r="DL112" s="103"/>
      <c r="DM112" s="103"/>
      <c r="DN112" s="103"/>
      <c r="DO112" s="103"/>
      <c r="DP112" s="103"/>
      <c r="DQ112" s="103"/>
      <c r="DR112" s="103"/>
      <c r="DS112" s="29" t="s">
        <v>123</v>
      </c>
      <c r="DT112" s="103"/>
      <c r="DU112" s="103"/>
      <c r="DV112" s="103"/>
      <c r="DW112" s="103"/>
      <c r="DX112" s="103"/>
      <c r="DY112" s="103"/>
      <c r="DZ112" s="103"/>
      <c r="EA112" s="103"/>
      <c r="EB112" s="103"/>
      <c r="EC112" s="103"/>
      <c r="ED112" s="103"/>
      <c r="EE112" s="29"/>
      <c r="EF112" s="103"/>
      <c r="EG112" s="103"/>
      <c r="EH112" s="103">
        <v>100</v>
      </c>
      <c r="EI112" s="103"/>
      <c r="EJ112" s="103"/>
      <c r="EK112" s="103"/>
      <c r="EL112" s="99"/>
      <c r="EM112" s="111"/>
      <c r="EN112" s="111"/>
      <c r="EO112" s="111">
        <v>110.75</v>
      </c>
      <c r="EP112" s="111"/>
      <c r="EQ112" s="111"/>
      <c r="ER112" s="103"/>
      <c r="ES112" s="99">
        <v>237369</v>
      </c>
      <c r="ET112" s="229">
        <f>ES112/AI112</f>
        <v>494.70426409903712</v>
      </c>
      <c r="EU112" s="103" t="s">
        <v>466</v>
      </c>
      <c r="EV112" s="29">
        <v>0</v>
      </c>
      <c r="EW112" s="103">
        <v>50</v>
      </c>
      <c r="EX112" s="29"/>
      <c r="EY112" s="103"/>
      <c r="EZ112" s="103"/>
      <c r="FA112" s="103"/>
      <c r="FB112" s="103"/>
      <c r="FC112" s="103"/>
      <c r="FD112" s="103"/>
      <c r="FE112" s="103"/>
      <c r="FF112" s="103"/>
      <c r="FG112" s="103"/>
      <c r="FH112" s="103"/>
      <c r="FI112" s="29" t="s">
        <v>38</v>
      </c>
      <c r="FJ112" s="103"/>
      <c r="FK112" s="103"/>
      <c r="FL112" s="29"/>
      <c r="FM112" s="103" t="s">
        <v>153</v>
      </c>
      <c r="FN112" s="103"/>
      <c r="FO112" s="103"/>
      <c r="FP112" s="103"/>
      <c r="FQ112" s="103"/>
      <c r="FR112" s="29"/>
      <c r="FS112" s="103"/>
      <c r="FT112" s="103" t="s">
        <v>160</v>
      </c>
      <c r="FU112" s="103"/>
      <c r="FV112" s="103"/>
      <c r="FW112" s="131"/>
      <c r="FX112" s="29"/>
      <c r="FY112" s="103" t="s">
        <v>159</v>
      </c>
      <c r="FZ112" s="103"/>
      <c r="GA112" s="103"/>
      <c r="GB112" s="103"/>
      <c r="GC112" s="103"/>
      <c r="GD112" s="29"/>
      <c r="GE112" s="29"/>
      <c r="GF112" s="103"/>
      <c r="GG112" s="103"/>
      <c r="GH112" s="103"/>
      <c r="GI112" s="29"/>
    </row>
    <row r="113" spans="1:191" ht="45">
      <c r="A113" s="228" t="s">
        <v>695</v>
      </c>
      <c r="B113" s="29" t="s">
        <v>510</v>
      </c>
      <c r="D113" s="5"/>
      <c r="E113" s="5" t="s">
        <v>910</v>
      </c>
      <c r="F113" s="5"/>
      <c r="G113" s="5" t="s">
        <v>911</v>
      </c>
      <c r="H113" s="5" t="s">
        <v>714</v>
      </c>
      <c r="I113" s="6">
        <v>1550</v>
      </c>
      <c r="J113" s="5"/>
      <c r="K113" s="20"/>
      <c r="L113">
        <v>2.4300000000000002</v>
      </c>
      <c r="M113">
        <v>2.4300000000000002</v>
      </c>
      <c r="N113" s="4">
        <v>3.77</v>
      </c>
      <c r="O113">
        <v>3.77</v>
      </c>
      <c r="P113">
        <v>16700</v>
      </c>
      <c r="Q113" s="67">
        <f t="shared" si="12"/>
        <v>145.50898203592814</v>
      </c>
      <c r="S113" t="s">
        <v>39</v>
      </c>
      <c r="T113" t="s">
        <v>511</v>
      </c>
      <c r="U113" t="s">
        <v>38</v>
      </c>
      <c r="W113" t="s">
        <v>512</v>
      </c>
      <c r="X113" t="s">
        <v>38</v>
      </c>
      <c r="AB113" t="s">
        <v>513</v>
      </c>
      <c r="AC113" s="29" t="s">
        <v>44</v>
      </c>
      <c r="AI113" s="29">
        <v>665</v>
      </c>
      <c r="AJ113" s="119">
        <f t="shared" si="11"/>
        <v>273.6625514403292</v>
      </c>
      <c r="AK113" s="32">
        <f>AI113*0.907185</f>
        <v>603.27802499999996</v>
      </c>
      <c r="AP113">
        <v>21</v>
      </c>
      <c r="AQ113" s="148"/>
      <c r="AR113" s="73"/>
      <c r="AS113" s="70"/>
      <c r="AT113" s="77">
        <v>665</v>
      </c>
      <c r="AY113" s="68"/>
      <c r="AZ113" t="s">
        <v>514</v>
      </c>
      <c r="BA113" s="29" t="s">
        <v>38</v>
      </c>
      <c r="BD113" s="75">
        <v>25000</v>
      </c>
      <c r="BE113" s="29"/>
      <c r="BF113" t="s">
        <v>39</v>
      </c>
      <c r="BH113" s="75"/>
      <c r="BI113" s="75"/>
      <c r="BJ113" s="75"/>
      <c r="BK113" s="75"/>
      <c r="BL113" s="75"/>
      <c r="BM113" s="75"/>
      <c r="BN113" s="75"/>
      <c r="BO113" s="75"/>
      <c r="BP113" s="75"/>
      <c r="BQ113" s="29">
        <v>30</v>
      </c>
      <c r="BR113" s="29" t="s">
        <v>71</v>
      </c>
      <c r="BS113" t="s">
        <v>72</v>
      </c>
      <c r="BX113" t="s">
        <v>77</v>
      </c>
      <c r="CC113" s="29" t="s">
        <v>180</v>
      </c>
      <c r="CM113" t="s">
        <v>172</v>
      </c>
      <c r="CQ113" t="s">
        <v>181</v>
      </c>
      <c r="CX113" s="29"/>
      <c r="CY113" t="s">
        <v>104</v>
      </c>
      <c r="DA113" s="29" t="s">
        <v>106</v>
      </c>
      <c r="DD113" s="29">
        <v>100</v>
      </c>
      <c r="DH113" s="29"/>
      <c r="DL113" t="s">
        <v>116</v>
      </c>
      <c r="DS113" s="29"/>
      <c r="DV113" t="s">
        <v>126</v>
      </c>
      <c r="EE113" s="29"/>
      <c r="EK113" t="s">
        <v>515</v>
      </c>
      <c r="EL113" s="99"/>
      <c r="EM113" s="112"/>
      <c r="EN113" s="112"/>
      <c r="EO113" s="112"/>
      <c r="EP113" s="112"/>
      <c r="EQ113" s="112"/>
      <c r="ER113" t="s">
        <v>516</v>
      </c>
      <c r="ES113" s="99"/>
      <c r="ET113" s="229"/>
      <c r="EU113" t="s">
        <v>517</v>
      </c>
      <c r="EV113" s="29">
        <v>25</v>
      </c>
      <c r="EW113">
        <v>100</v>
      </c>
      <c r="EX113" s="29"/>
      <c r="FB113" t="s">
        <v>518</v>
      </c>
      <c r="FC113" t="s">
        <v>519</v>
      </c>
      <c r="FE113" t="s">
        <v>520</v>
      </c>
      <c r="FF113" t="s">
        <v>521</v>
      </c>
      <c r="FH113" t="s">
        <v>522</v>
      </c>
      <c r="FI113" s="29"/>
      <c r="FJ113" t="s">
        <v>39</v>
      </c>
      <c r="FK113" t="s">
        <v>523</v>
      </c>
      <c r="FL113" s="29"/>
      <c r="FM113" t="s">
        <v>153</v>
      </c>
      <c r="FQ113" t="s">
        <v>524</v>
      </c>
      <c r="FR113" s="29"/>
      <c r="FT113" t="s">
        <v>160</v>
      </c>
      <c r="FW113" s="40" t="s">
        <v>524</v>
      </c>
      <c r="FX113" s="29" t="s">
        <v>158</v>
      </c>
      <c r="GC113" t="s">
        <v>525</v>
      </c>
      <c r="GD113" s="29"/>
      <c r="GE113" s="29"/>
      <c r="GI113" s="29" t="s">
        <v>526</v>
      </c>
    </row>
    <row r="114" spans="1:191" ht="15.75">
      <c r="A114" s="228" t="s">
        <v>696</v>
      </c>
      <c r="B114" s="29" t="s">
        <v>451</v>
      </c>
      <c r="D114" s="5"/>
      <c r="E114" s="5" t="s">
        <v>912</v>
      </c>
      <c r="F114" s="5"/>
      <c r="G114" s="5" t="s">
        <v>913</v>
      </c>
      <c r="H114" s="5" t="s">
        <v>714</v>
      </c>
      <c r="I114" s="6" t="s">
        <v>914</v>
      </c>
      <c r="J114" s="5"/>
      <c r="K114" s="20"/>
      <c r="L114">
        <v>1.08</v>
      </c>
      <c r="M114">
        <v>1.08</v>
      </c>
      <c r="N114" s="4">
        <v>1.08</v>
      </c>
      <c r="O114">
        <v>1.08</v>
      </c>
      <c r="P114">
        <v>1600</v>
      </c>
      <c r="Q114" s="67">
        <f t="shared" si="12"/>
        <v>675</v>
      </c>
      <c r="R114" t="s">
        <v>38</v>
      </c>
      <c r="T114" t="s">
        <v>452</v>
      </c>
      <c r="U114" t="s">
        <v>38</v>
      </c>
      <c r="W114" t="s">
        <v>453</v>
      </c>
      <c r="Y114" t="s">
        <v>39</v>
      </c>
      <c r="AC114" s="29"/>
      <c r="AD114" t="s">
        <v>45</v>
      </c>
      <c r="AI114" s="33">
        <f>1.10231162684681*AK114</f>
        <v>311.95419039764727</v>
      </c>
      <c r="AJ114" s="119">
        <f t="shared" si="11"/>
        <v>288.84647259041412</v>
      </c>
      <c r="AK114" s="55">
        <v>283</v>
      </c>
      <c r="AP114">
        <v>7</v>
      </c>
      <c r="AQ114" s="148"/>
      <c r="AR114" s="73"/>
      <c r="AS114" s="70"/>
      <c r="AT114" s="29"/>
      <c r="AU114" s="32">
        <f t="array" ref="AU114">1.10231162684681*283</f>
        <v>311.95419039764727</v>
      </c>
      <c r="BA114" s="29" t="s">
        <v>38</v>
      </c>
      <c r="BD114" s="75">
        <v>8000000</v>
      </c>
      <c r="BE114" s="29" t="s">
        <v>38</v>
      </c>
      <c r="BG114" t="s">
        <v>454</v>
      </c>
      <c r="BH114" s="75"/>
      <c r="BI114" s="75"/>
      <c r="BJ114" s="75"/>
      <c r="BK114" s="75"/>
      <c r="BL114" s="75"/>
      <c r="BM114" s="75"/>
      <c r="BN114" s="75"/>
      <c r="BO114" s="75"/>
      <c r="BP114" s="75"/>
      <c r="BQ114" s="29">
        <v>0</v>
      </c>
      <c r="BR114" s="29"/>
      <c r="BS114" t="s">
        <v>72</v>
      </c>
      <c r="CC114" s="29"/>
      <c r="CL114" t="s">
        <v>171</v>
      </c>
      <c r="CX114" s="29"/>
      <c r="CZ114" t="s">
        <v>105</v>
      </c>
      <c r="DA114" s="29" t="s">
        <v>106</v>
      </c>
      <c r="DD114" s="29"/>
      <c r="DG114">
        <v>100</v>
      </c>
      <c r="DH114" s="29"/>
      <c r="DM114" t="s">
        <v>117</v>
      </c>
      <c r="DS114" s="29"/>
      <c r="DY114" t="s">
        <v>129</v>
      </c>
      <c r="EE114" s="29"/>
      <c r="EH114">
        <v>100</v>
      </c>
      <c r="EL114" s="99"/>
      <c r="EM114" s="112"/>
      <c r="EN114" s="112"/>
      <c r="EO114" s="113"/>
      <c r="EP114" s="112"/>
      <c r="EQ114" s="112"/>
      <c r="ES114" s="99">
        <v>160000</v>
      </c>
      <c r="ET114" s="229">
        <f>ES114/AI114</f>
        <v>512.8958190817965</v>
      </c>
      <c r="EV114" s="29">
        <v>-20</v>
      </c>
      <c r="EW114">
        <v>20</v>
      </c>
      <c r="EX114" s="29"/>
      <c r="FA114" t="s">
        <v>455</v>
      </c>
      <c r="FC114" t="s">
        <v>305</v>
      </c>
      <c r="FE114" t="s">
        <v>456</v>
      </c>
      <c r="FI114" s="29" t="s">
        <v>38</v>
      </c>
      <c r="FL114" s="29"/>
      <c r="FM114" t="s">
        <v>153</v>
      </c>
      <c r="FR114" s="29"/>
      <c r="FU114" t="s">
        <v>161</v>
      </c>
      <c r="FX114" s="29"/>
      <c r="FY114" t="s">
        <v>159</v>
      </c>
      <c r="GD114" s="29"/>
      <c r="GE114" s="29"/>
      <c r="GI114" s="29"/>
    </row>
    <row r="115" spans="1:191" ht="31.5">
      <c r="A115" s="228" t="s">
        <v>697</v>
      </c>
      <c r="B115" s="29" t="s">
        <v>602</v>
      </c>
      <c r="D115" s="5"/>
      <c r="E115" s="5" t="s">
        <v>915</v>
      </c>
      <c r="F115" s="5"/>
      <c r="G115" s="5" t="s">
        <v>916</v>
      </c>
      <c r="H115" s="5" t="s">
        <v>714</v>
      </c>
      <c r="I115" s="6" t="s">
        <v>917</v>
      </c>
      <c r="J115" s="5"/>
      <c r="K115" s="23"/>
      <c r="L115">
        <v>43</v>
      </c>
      <c r="M115">
        <v>43</v>
      </c>
      <c r="N115" s="4">
        <v>67</v>
      </c>
      <c r="O115">
        <v>67</v>
      </c>
      <c r="P115">
        <v>275000</v>
      </c>
      <c r="Q115" s="67">
        <f t="shared" si="12"/>
        <v>156.36363636363637</v>
      </c>
      <c r="R115" t="s">
        <v>38</v>
      </c>
      <c r="T115" t="s">
        <v>603</v>
      </c>
      <c r="V115" t="s">
        <v>39</v>
      </c>
      <c r="X115" t="s">
        <v>38</v>
      </c>
      <c r="AB115" t="s">
        <v>604</v>
      </c>
      <c r="AC115" s="29" t="s">
        <v>44</v>
      </c>
      <c r="AI115" s="29">
        <v>10604</v>
      </c>
      <c r="AJ115" s="119">
        <f t="shared" si="11"/>
        <v>246.6046511627907</v>
      </c>
      <c r="AK115">
        <f>AI115*0.907185</f>
        <v>9619.7897400000002</v>
      </c>
      <c r="AP115">
        <v>24</v>
      </c>
      <c r="AQ115" s="148" t="s">
        <v>38</v>
      </c>
      <c r="AR115" s="73">
        <v>8831.7999999999993</v>
      </c>
      <c r="AS115" s="70">
        <v>8790.4500000000007</v>
      </c>
      <c r="AT115" s="29"/>
      <c r="AU115">
        <v>5311</v>
      </c>
      <c r="AV115">
        <v>5293</v>
      </c>
      <c r="BA115" s="29" t="s">
        <v>38</v>
      </c>
      <c r="BD115" s="75">
        <v>3003738</v>
      </c>
      <c r="BE115" s="29"/>
      <c r="BF115" t="s">
        <v>39</v>
      </c>
      <c r="BH115" s="75"/>
      <c r="BI115" s="75"/>
      <c r="BJ115" s="75"/>
      <c r="BK115" s="75"/>
      <c r="BL115" s="75"/>
      <c r="BM115" s="75"/>
      <c r="BN115" s="75"/>
      <c r="BO115" s="75"/>
      <c r="BP115" s="75"/>
      <c r="BQ115" s="29">
        <v>50</v>
      </c>
      <c r="BR115" s="29" t="s">
        <v>71</v>
      </c>
      <c r="BS115" t="s">
        <v>72</v>
      </c>
      <c r="CC115" s="29"/>
      <c r="CD115" t="s">
        <v>170</v>
      </c>
      <c r="CL115" t="s">
        <v>171</v>
      </c>
      <c r="CT115" t="s">
        <v>172</v>
      </c>
      <c r="CX115" s="29"/>
      <c r="CY115" t="s">
        <v>104</v>
      </c>
      <c r="DA115" s="29" t="s">
        <v>106</v>
      </c>
      <c r="DD115" s="29"/>
      <c r="DF115">
        <v>100</v>
      </c>
      <c r="DH115" s="29"/>
      <c r="DR115" t="s">
        <v>122</v>
      </c>
      <c r="DS115" s="29"/>
      <c r="DV115" t="s">
        <v>126</v>
      </c>
      <c r="DY115" t="s">
        <v>129</v>
      </c>
      <c r="DZ115" t="s">
        <v>130</v>
      </c>
      <c r="EE115" s="29"/>
      <c r="EH115">
        <v>50</v>
      </c>
      <c r="EI115">
        <v>50</v>
      </c>
      <c r="EL115" s="99"/>
      <c r="EM115" s="112"/>
      <c r="EN115" s="112"/>
      <c r="EO115" s="112">
        <v>93</v>
      </c>
      <c r="EP115" s="112">
        <v>93</v>
      </c>
      <c r="EQ115" s="112"/>
      <c r="ES115" s="99">
        <v>4138284</v>
      </c>
      <c r="ET115" s="229">
        <f>ES115/AI115</f>
        <v>390.25688419464353</v>
      </c>
      <c r="EV115" s="29">
        <v>0</v>
      </c>
      <c r="EW115">
        <v>30</v>
      </c>
      <c r="EX115" s="29"/>
      <c r="EY115" t="s">
        <v>605</v>
      </c>
      <c r="EZ115" t="s">
        <v>605</v>
      </c>
      <c r="FD115" t="s">
        <v>606</v>
      </c>
      <c r="FH115" t="s">
        <v>607</v>
      </c>
      <c r="FI115" s="29" t="s">
        <v>38</v>
      </c>
      <c r="FL115" s="29"/>
      <c r="FN115" t="s">
        <v>154</v>
      </c>
      <c r="FQ115" t="s">
        <v>608</v>
      </c>
      <c r="FR115" s="29"/>
      <c r="FS115" t="s">
        <v>159</v>
      </c>
      <c r="FW115" s="40" t="s">
        <v>609</v>
      </c>
      <c r="FX115" s="29"/>
      <c r="FZ115" t="s">
        <v>160</v>
      </c>
      <c r="GC115" t="s">
        <v>610</v>
      </c>
      <c r="GD115" s="29" t="s">
        <v>611</v>
      </c>
      <c r="GE115" s="29"/>
      <c r="GI115" s="29"/>
    </row>
    <row r="116" spans="1:191" ht="15.75">
      <c r="A116" s="228" t="s">
        <v>698</v>
      </c>
      <c r="B116" s="29" t="s">
        <v>618</v>
      </c>
      <c r="D116" s="5"/>
      <c r="E116" s="5" t="s">
        <v>918</v>
      </c>
      <c r="F116" s="5"/>
      <c r="G116" s="5" t="s">
        <v>919</v>
      </c>
      <c r="H116" s="5" t="s">
        <v>714</v>
      </c>
      <c r="I116" s="6" t="s">
        <v>920</v>
      </c>
      <c r="J116" s="14"/>
      <c r="K116" s="21"/>
      <c r="L116">
        <v>0.19</v>
      </c>
      <c r="M116">
        <v>0.19</v>
      </c>
      <c r="N116" s="4">
        <v>0.46</v>
      </c>
      <c r="O116">
        <v>0.46</v>
      </c>
      <c r="P116">
        <v>1500</v>
      </c>
      <c r="Q116" s="67">
        <f t="shared" si="12"/>
        <v>126.66666666666667</v>
      </c>
      <c r="S116" t="s">
        <v>39</v>
      </c>
      <c r="U116" t="s">
        <v>38</v>
      </c>
      <c r="W116" t="s">
        <v>179</v>
      </c>
      <c r="AA116" t="s">
        <v>43</v>
      </c>
      <c r="AC116" s="29"/>
      <c r="AD116" t="s">
        <v>45</v>
      </c>
      <c r="AI116" s="33">
        <f>1.10231162684681*AK116</f>
        <v>31.96703717855749</v>
      </c>
      <c r="AJ116" s="119">
        <f t="shared" si="11"/>
        <v>168.24756409767099</v>
      </c>
      <c r="AK116">
        <v>29</v>
      </c>
      <c r="AP116">
        <v>3</v>
      </c>
      <c r="AQ116" s="148"/>
      <c r="AR116" s="73"/>
      <c r="AS116" s="70"/>
      <c r="AT116" s="29"/>
      <c r="AU116" s="32">
        <f>1.10231162684681*29</f>
        <v>31.96703717855749</v>
      </c>
      <c r="BA116" s="29" t="s">
        <v>38</v>
      </c>
      <c r="BD116" s="75">
        <v>0</v>
      </c>
      <c r="BE116" s="29"/>
      <c r="BF116" t="s">
        <v>39</v>
      </c>
      <c r="BH116" s="75"/>
      <c r="BI116" s="75"/>
      <c r="BJ116" s="75"/>
      <c r="BK116" s="75"/>
      <c r="BL116" s="75"/>
      <c r="BM116" s="75"/>
      <c r="BN116" s="75"/>
      <c r="BO116" s="75"/>
      <c r="BP116" s="75"/>
      <c r="BQ116" s="29">
        <v>0</v>
      </c>
      <c r="BR116" s="29"/>
      <c r="BS116" t="s">
        <v>72</v>
      </c>
      <c r="CC116" s="29" t="s">
        <v>180</v>
      </c>
      <c r="CK116" t="s">
        <v>170</v>
      </c>
      <c r="CQ116" t="s">
        <v>181</v>
      </c>
      <c r="CX116" s="29"/>
      <c r="CZ116" t="s">
        <v>105</v>
      </c>
      <c r="DA116" s="29" t="s">
        <v>106</v>
      </c>
      <c r="DD116" s="29"/>
      <c r="DH116" s="29"/>
      <c r="DS116" s="29"/>
      <c r="EB116" t="s">
        <v>132</v>
      </c>
      <c r="EC116" t="s">
        <v>182</v>
      </c>
      <c r="EE116" s="29"/>
      <c r="EH116">
        <v>100</v>
      </c>
      <c r="EL116" s="99"/>
      <c r="EM116" s="112"/>
      <c r="EN116" s="112"/>
      <c r="EO116" s="112"/>
      <c r="EP116" s="113"/>
      <c r="EQ116" s="112"/>
      <c r="ER116" t="s">
        <v>183</v>
      </c>
      <c r="ES116" s="99">
        <v>62733</v>
      </c>
      <c r="ET116" s="229">
        <f>ES116/AI116</f>
        <v>1962.4277235826964</v>
      </c>
      <c r="EV116" s="29">
        <v>19</v>
      </c>
      <c r="EW116">
        <v>25</v>
      </c>
      <c r="EX116" s="29"/>
      <c r="FH116" t="s">
        <v>184</v>
      </c>
      <c r="FI116" s="29"/>
      <c r="FJ116" t="s">
        <v>39</v>
      </c>
      <c r="FK116" t="s">
        <v>185</v>
      </c>
      <c r="FL116" s="29"/>
      <c r="FR116" s="29"/>
      <c r="FV116" t="s">
        <v>162</v>
      </c>
      <c r="FX116" s="29"/>
      <c r="FY116" t="s">
        <v>159</v>
      </c>
      <c r="GD116" s="29"/>
      <c r="GE116" s="29"/>
      <c r="GI116" s="29"/>
    </row>
    <row r="117" spans="1:191" ht="15.75">
      <c r="A117" s="228" t="s">
        <v>1042</v>
      </c>
      <c r="B117" s="29"/>
      <c r="D117" s="5"/>
      <c r="E117" s="5"/>
      <c r="F117" s="5"/>
      <c r="G117" s="5"/>
      <c r="H117" s="5"/>
      <c r="I117" s="6"/>
      <c r="J117" s="14"/>
      <c r="K117" s="21"/>
      <c r="L117" s="50">
        <v>0.42</v>
      </c>
      <c r="M117" s="50"/>
      <c r="N117" s="61">
        <v>0.46</v>
      </c>
      <c r="O117" s="50"/>
      <c r="Q117" s="67"/>
      <c r="AC117" s="29"/>
      <c r="AI117" s="33">
        <f>1.10231162684681*AK117</f>
        <v>298.40678050369991</v>
      </c>
      <c r="AJ117" s="119">
        <f t="shared" si="11"/>
        <v>710.49233453261888</v>
      </c>
      <c r="AK117">
        <v>270.70999999999998</v>
      </c>
      <c r="AQ117" s="148" t="s">
        <v>38</v>
      </c>
      <c r="AR117" s="73">
        <v>270.70999999999998</v>
      </c>
      <c r="AS117" s="70"/>
      <c r="AT117" s="29"/>
      <c r="AU117" s="34">
        <f>AI117</f>
        <v>298.40678050369991</v>
      </c>
      <c r="AZ117" s="34" t="s">
        <v>1122</v>
      </c>
      <c r="BA117" s="29"/>
      <c r="BD117" s="75"/>
      <c r="BE117" s="29"/>
      <c r="BH117" s="75"/>
      <c r="BI117" s="75"/>
      <c r="BJ117" s="75"/>
      <c r="BK117" s="75"/>
      <c r="BL117" s="75"/>
      <c r="BM117" s="75"/>
      <c r="BN117" s="75"/>
      <c r="BO117" s="75"/>
      <c r="BP117" s="75"/>
      <c r="BQ117" s="29"/>
      <c r="BR117" s="29"/>
      <c r="CC117" s="29"/>
      <c r="CX117" s="29"/>
      <c r="DA117" s="29"/>
      <c r="DD117" s="29"/>
      <c r="DH117" s="29"/>
      <c r="DS117" s="29"/>
      <c r="EE117" s="29"/>
      <c r="EL117" s="99"/>
      <c r="EM117" s="112"/>
      <c r="EN117" s="112"/>
      <c r="EO117" s="112"/>
      <c r="EP117" s="112"/>
      <c r="EQ117" s="112"/>
      <c r="ES117" s="99"/>
      <c r="ET117" s="229"/>
      <c r="EV117" s="29"/>
      <c r="EX117" s="29"/>
      <c r="FI117" s="29"/>
      <c r="FL117" s="29"/>
      <c r="FR117" s="29"/>
      <c r="FX117" s="29"/>
      <c r="GD117" s="29"/>
      <c r="GE117" s="29"/>
      <c r="GI117" s="29"/>
    </row>
    <row r="118" spans="1:191" ht="15.75">
      <c r="A118" s="228" t="s">
        <v>699</v>
      </c>
      <c r="B118" s="29" t="s">
        <v>419</v>
      </c>
      <c r="D118" s="5"/>
      <c r="E118" s="5" t="s">
        <v>921</v>
      </c>
      <c r="F118" s="5"/>
      <c r="G118" s="5" t="s">
        <v>922</v>
      </c>
      <c r="H118" s="5" t="s">
        <v>714</v>
      </c>
      <c r="I118" s="6" t="s">
        <v>923</v>
      </c>
      <c r="J118" s="5"/>
      <c r="K118" s="20"/>
      <c r="L118">
        <v>0.14000000000000001</v>
      </c>
      <c r="M118">
        <v>0.14000000000000001</v>
      </c>
      <c r="N118" s="4">
        <v>0.5</v>
      </c>
      <c r="O118">
        <v>0.5</v>
      </c>
      <c r="P118">
        <v>3000</v>
      </c>
      <c r="Q118" s="67">
        <f>L118*1000000/P118</f>
        <v>46.666666666666664</v>
      </c>
      <c r="R118" t="s">
        <v>38</v>
      </c>
      <c r="T118" t="s">
        <v>420</v>
      </c>
      <c r="V118" t="s">
        <v>39</v>
      </c>
      <c r="AA118" t="s">
        <v>43</v>
      </c>
      <c r="AC118" s="29" t="s">
        <v>44</v>
      </c>
      <c r="AI118" s="29">
        <v>36</v>
      </c>
      <c r="AJ118" s="119">
        <f t="shared" si="11"/>
        <v>257.14285714285711</v>
      </c>
      <c r="AK118" s="32">
        <f t="shared" ref="AK118:AK124" si="13">AI118*0.907185</f>
        <v>32.658659999999998</v>
      </c>
      <c r="AP118">
        <v>3</v>
      </c>
      <c r="AQ118" s="148"/>
      <c r="AR118" s="73"/>
      <c r="AS118" s="70"/>
      <c r="AT118" s="29"/>
      <c r="AU118">
        <v>36</v>
      </c>
      <c r="BA118" s="29" t="s">
        <v>38</v>
      </c>
      <c r="BD118" s="75">
        <v>63000</v>
      </c>
      <c r="BE118" s="29"/>
      <c r="BF118" t="s">
        <v>39</v>
      </c>
      <c r="BH118" s="75"/>
      <c r="BI118" s="75"/>
      <c r="BJ118" s="75"/>
      <c r="BK118" s="75"/>
      <c r="BL118" s="75"/>
      <c r="BM118" s="75"/>
      <c r="BN118" s="75"/>
      <c r="BO118" s="75"/>
      <c r="BP118" s="75"/>
      <c r="BQ118" s="29"/>
      <c r="BR118" s="29"/>
      <c r="CC118" s="29"/>
      <c r="CX118" s="29"/>
      <c r="DA118" s="29"/>
      <c r="DD118" s="29"/>
      <c r="DH118" s="29"/>
      <c r="DS118" s="29"/>
      <c r="EE118" s="29"/>
      <c r="EL118" s="99"/>
      <c r="EM118" s="112"/>
      <c r="EN118" s="112"/>
      <c r="EO118" s="112"/>
      <c r="EP118" s="112"/>
      <c r="EQ118" s="112"/>
      <c r="ES118" s="99"/>
      <c r="ET118" s="229"/>
      <c r="EV118" s="29"/>
      <c r="EX118" s="29"/>
      <c r="FI118" s="29"/>
      <c r="FL118" s="29"/>
      <c r="FR118" s="29"/>
      <c r="FX118" s="29"/>
      <c r="GD118" s="29"/>
      <c r="GE118" s="29"/>
      <c r="GI118" s="29"/>
    </row>
    <row r="119" spans="1:191" ht="15.75">
      <c r="A119" s="228" t="s">
        <v>700</v>
      </c>
      <c r="B119" s="29" t="s">
        <v>336</v>
      </c>
      <c r="D119" s="14"/>
      <c r="E119" s="5" t="s">
        <v>924</v>
      </c>
      <c r="F119" s="5"/>
      <c r="G119" s="5" t="s">
        <v>925</v>
      </c>
      <c r="H119" s="5" t="s">
        <v>714</v>
      </c>
      <c r="I119" s="6" t="s">
        <v>926</v>
      </c>
      <c r="J119" s="14"/>
      <c r="K119" s="21"/>
      <c r="L119">
        <v>8.6</v>
      </c>
      <c r="M119">
        <v>8.6</v>
      </c>
      <c r="N119" s="4">
        <v>8.34</v>
      </c>
      <c r="O119">
        <v>8.34</v>
      </c>
      <c r="P119">
        <v>57000</v>
      </c>
      <c r="Q119" s="67">
        <f>L119*1000000/P119</f>
        <v>150.87719298245614</v>
      </c>
      <c r="R119" t="s">
        <v>38</v>
      </c>
      <c r="T119" t="s">
        <v>337</v>
      </c>
      <c r="V119" t="s">
        <v>39</v>
      </c>
      <c r="X119" t="s">
        <v>38</v>
      </c>
      <c r="AC119" s="29" t="s">
        <v>44</v>
      </c>
      <c r="AI119" s="29">
        <v>2051</v>
      </c>
      <c r="AJ119" s="119">
        <f t="shared" si="11"/>
        <v>238.48837209302326</v>
      </c>
      <c r="AK119" s="32">
        <f t="shared" si="13"/>
        <v>1860.6364350000001</v>
      </c>
      <c r="AP119">
        <v>23</v>
      </c>
      <c r="AQ119" s="148"/>
      <c r="AR119" s="73"/>
      <c r="AS119" s="70"/>
      <c r="AT119" s="29"/>
      <c r="AV119">
        <v>2051</v>
      </c>
      <c r="BA119" s="29"/>
      <c r="BB119" t="s">
        <v>39</v>
      </c>
      <c r="BD119" s="75"/>
      <c r="BE119" s="29"/>
      <c r="BF119" t="s">
        <v>39</v>
      </c>
      <c r="BH119" s="75"/>
      <c r="BI119" s="75"/>
      <c r="BJ119" s="75"/>
      <c r="BK119" s="75"/>
      <c r="BL119" s="75"/>
      <c r="BM119" s="75"/>
      <c r="BN119" s="75"/>
      <c r="BO119" s="75"/>
      <c r="BP119" s="75"/>
      <c r="BQ119" s="29">
        <v>40</v>
      </c>
      <c r="BR119" s="29" t="s">
        <v>71</v>
      </c>
      <c r="BS119" t="s">
        <v>72</v>
      </c>
      <c r="CC119" s="29"/>
      <c r="CR119" t="s">
        <v>170</v>
      </c>
      <c r="CX119" s="29"/>
      <c r="CY119" t="s">
        <v>104</v>
      </c>
      <c r="DA119" s="29" t="s">
        <v>106</v>
      </c>
      <c r="DD119" s="29"/>
      <c r="DG119">
        <v>100</v>
      </c>
      <c r="DH119" s="29"/>
      <c r="DS119" s="29"/>
      <c r="DV119" t="s">
        <v>126</v>
      </c>
      <c r="EE119" s="29"/>
      <c r="EI119">
        <v>100</v>
      </c>
      <c r="EL119" s="99"/>
      <c r="EM119" s="112"/>
      <c r="EN119" s="112"/>
      <c r="EO119" s="112"/>
      <c r="EP119" s="113">
        <f>ET119</f>
        <v>35.299853729887857</v>
      </c>
      <c r="EQ119" s="112"/>
      <c r="ES119" s="99">
        <v>72400</v>
      </c>
      <c r="ET119" s="229">
        <f>ES119/AI119</f>
        <v>35.299853729887857</v>
      </c>
      <c r="EV119" s="29">
        <v>10</v>
      </c>
      <c r="EW119">
        <v>50</v>
      </c>
      <c r="EX119" s="29"/>
      <c r="FA119" t="s">
        <v>338</v>
      </c>
      <c r="FI119" s="29" t="s">
        <v>38</v>
      </c>
      <c r="FL119" s="29"/>
      <c r="FM119" t="s">
        <v>153</v>
      </c>
      <c r="FR119" s="29"/>
      <c r="FU119" t="s">
        <v>161</v>
      </c>
      <c r="FX119" s="29"/>
      <c r="FY119" t="s">
        <v>159</v>
      </c>
      <c r="GD119" s="29"/>
      <c r="GE119" s="29"/>
      <c r="GI119" s="29"/>
    </row>
    <row r="120" spans="1:191" ht="15.75">
      <c r="A120" s="295" t="s">
        <v>1044</v>
      </c>
      <c r="B120" s="29"/>
      <c r="D120" s="14"/>
      <c r="E120" s="5"/>
      <c r="F120" s="5"/>
      <c r="G120" s="5"/>
      <c r="H120" s="5"/>
      <c r="I120" s="6"/>
      <c r="J120" s="14"/>
      <c r="K120" s="21"/>
      <c r="L120" s="50">
        <v>2.1</v>
      </c>
      <c r="M120" s="50"/>
      <c r="N120" s="61">
        <v>2.81</v>
      </c>
      <c r="O120" s="50"/>
      <c r="Q120" s="67"/>
      <c r="AC120" s="29"/>
      <c r="AI120" s="56">
        <v>247.2</v>
      </c>
      <c r="AJ120" s="119">
        <f t="shared" si="11"/>
        <v>117.71428571428571</v>
      </c>
      <c r="AK120" s="32">
        <f t="shared" si="13"/>
        <v>224.25613200000001</v>
      </c>
      <c r="AQ120" s="148"/>
      <c r="AR120" s="73"/>
      <c r="AS120" s="70"/>
      <c r="AT120" s="29"/>
      <c r="AV120" s="34">
        <f>AI120</f>
        <v>247.2</v>
      </c>
      <c r="AZ120" s="34" t="s">
        <v>1113</v>
      </c>
      <c r="BA120" s="29"/>
      <c r="BD120" s="75"/>
      <c r="BE120" s="29"/>
      <c r="BH120" s="75"/>
      <c r="BI120" s="75"/>
      <c r="BJ120" s="75"/>
      <c r="BK120" s="75"/>
      <c r="BL120" s="75"/>
      <c r="BM120" s="75"/>
      <c r="BN120" s="75"/>
      <c r="BO120" s="75"/>
      <c r="BP120" s="75"/>
      <c r="BQ120" s="29"/>
      <c r="BR120" s="29"/>
      <c r="CC120" s="29"/>
      <c r="CX120" s="29"/>
      <c r="DA120" s="29"/>
      <c r="DD120" s="29"/>
      <c r="DH120" s="29"/>
      <c r="DS120" s="29"/>
      <c r="EE120" s="29"/>
      <c r="EL120" s="99"/>
      <c r="EM120" s="112"/>
      <c r="EN120" s="112"/>
      <c r="EO120" s="112"/>
      <c r="EP120" s="112"/>
      <c r="EQ120" s="112"/>
      <c r="ES120" s="99"/>
      <c r="ET120" s="229"/>
      <c r="EV120" s="29"/>
      <c r="EX120" s="29"/>
      <c r="FI120" s="29"/>
      <c r="FL120" s="29"/>
      <c r="FR120" s="29"/>
      <c r="FX120" s="29"/>
      <c r="GD120" s="29"/>
      <c r="GE120" s="29"/>
      <c r="GI120" s="29"/>
    </row>
    <row r="121" spans="1:191" ht="15.75">
      <c r="A121" s="297" t="s">
        <v>1045</v>
      </c>
      <c r="B121" s="29"/>
      <c r="D121" s="14"/>
      <c r="E121" s="5"/>
      <c r="F121" s="5"/>
      <c r="G121" s="5"/>
      <c r="H121" s="5"/>
      <c r="I121" s="6"/>
      <c r="J121" s="14"/>
      <c r="K121" s="21"/>
      <c r="L121" s="50">
        <v>0.104</v>
      </c>
      <c r="M121" s="50"/>
      <c r="N121" s="61">
        <v>0.104</v>
      </c>
      <c r="O121" s="50"/>
      <c r="Q121" s="67"/>
      <c r="AC121" s="29"/>
      <c r="AI121" s="56">
        <v>55.9</v>
      </c>
      <c r="AJ121" s="119">
        <f t="shared" si="11"/>
        <v>537.5</v>
      </c>
      <c r="AK121" s="32">
        <f t="shared" si="13"/>
        <v>50.711641499999999</v>
      </c>
      <c r="AQ121" s="148"/>
      <c r="AR121" s="73"/>
      <c r="AS121" s="70"/>
      <c r="AT121" s="29"/>
      <c r="AV121" s="34">
        <f>AI121</f>
        <v>55.9</v>
      </c>
      <c r="AZ121" s="34" t="s">
        <v>1113</v>
      </c>
      <c r="BA121" s="29"/>
      <c r="BD121" s="75"/>
      <c r="BE121" s="29"/>
      <c r="BH121" s="75"/>
      <c r="BI121" s="75"/>
      <c r="BJ121" s="75"/>
      <c r="BK121" s="75"/>
      <c r="BL121" s="75"/>
      <c r="BM121" s="75"/>
      <c r="BN121" s="75"/>
      <c r="BO121" s="75"/>
      <c r="BP121" s="75"/>
      <c r="BQ121" s="29"/>
      <c r="BR121" s="29"/>
      <c r="CC121" s="29"/>
      <c r="CX121" s="29"/>
      <c r="DA121" s="29"/>
      <c r="DD121" s="29"/>
      <c r="DH121" s="29"/>
      <c r="DS121" s="29"/>
      <c r="EE121" s="29"/>
      <c r="EL121" s="99"/>
      <c r="EM121" s="112"/>
      <c r="EN121" s="112"/>
      <c r="EO121" s="112"/>
      <c r="EP121" s="112"/>
      <c r="EQ121" s="112"/>
      <c r="ES121" s="99"/>
      <c r="ET121" s="229"/>
      <c r="EV121" s="29"/>
      <c r="EX121" s="29"/>
      <c r="FI121" s="29"/>
      <c r="FL121" s="29"/>
      <c r="FR121" s="29"/>
      <c r="FX121" s="29"/>
      <c r="GD121" s="29"/>
      <c r="GE121" s="29"/>
      <c r="GI121" s="29"/>
    </row>
    <row r="122" spans="1:191" ht="31.5">
      <c r="A122" s="228" t="s">
        <v>1222</v>
      </c>
      <c r="B122" s="29" t="s">
        <v>1002</v>
      </c>
      <c r="D122" s="14"/>
      <c r="E122" s="5" t="s">
        <v>927</v>
      </c>
      <c r="F122" s="5"/>
      <c r="G122" s="5" t="s">
        <v>928</v>
      </c>
      <c r="H122" s="5" t="s">
        <v>714</v>
      </c>
      <c r="I122" s="6" t="s">
        <v>929</v>
      </c>
      <c r="J122" s="13"/>
      <c r="K122" s="24"/>
      <c r="L122">
        <v>34.5</v>
      </c>
      <c r="M122">
        <v>34.5</v>
      </c>
      <c r="N122" s="4">
        <v>45</v>
      </c>
      <c r="O122">
        <v>45</v>
      </c>
      <c r="P122">
        <v>254452</v>
      </c>
      <c r="Q122" s="67">
        <f>L122*1000000/P122</f>
        <v>135.58549353119645</v>
      </c>
      <c r="R122" t="s">
        <v>38</v>
      </c>
      <c r="U122" t="s">
        <v>38</v>
      </c>
      <c r="X122" t="s">
        <v>38</v>
      </c>
      <c r="AC122" s="29" t="s">
        <v>44</v>
      </c>
      <c r="AI122" s="29">
        <v>18518</v>
      </c>
      <c r="AJ122" s="119">
        <f t="shared" si="11"/>
        <v>536.75362318840575</v>
      </c>
      <c r="AK122" s="32">
        <f t="shared" si="13"/>
        <v>16799.251830000001</v>
      </c>
      <c r="AP122">
        <v>23</v>
      </c>
      <c r="AQ122" s="148" t="s">
        <v>38</v>
      </c>
      <c r="AR122" s="73">
        <v>14351</v>
      </c>
      <c r="AS122" s="70">
        <v>14443</v>
      </c>
      <c r="AT122" s="29"/>
      <c r="AU122">
        <v>18518</v>
      </c>
      <c r="BA122" s="29" t="s">
        <v>38</v>
      </c>
      <c r="BD122" s="75"/>
      <c r="BE122" s="29" t="s">
        <v>38</v>
      </c>
      <c r="BH122" s="75"/>
      <c r="BI122" s="75"/>
      <c r="BJ122" s="75"/>
      <c r="BK122" s="75"/>
      <c r="BL122" s="75"/>
      <c r="BM122" s="75"/>
      <c r="BN122" s="75"/>
      <c r="BO122" s="75"/>
      <c r="BP122" s="75"/>
      <c r="BQ122" s="29"/>
      <c r="BR122" s="29"/>
      <c r="CC122" s="29"/>
      <c r="CX122" s="29"/>
      <c r="DA122" s="29"/>
      <c r="DD122" s="29"/>
      <c r="DH122" s="29"/>
      <c r="DS122" s="29"/>
      <c r="EE122" s="29"/>
      <c r="EL122" s="99"/>
      <c r="EM122" s="112"/>
      <c r="EN122" s="112"/>
      <c r="EO122" s="112"/>
      <c r="EP122" s="112"/>
      <c r="EQ122" s="112"/>
      <c r="ES122" s="99"/>
      <c r="ET122" s="229"/>
      <c r="EV122" s="29"/>
      <c r="EX122" s="29"/>
      <c r="FI122" s="29"/>
      <c r="FL122" s="29"/>
      <c r="FR122" s="29"/>
      <c r="FX122" s="29"/>
      <c r="GD122" s="29"/>
      <c r="GE122" s="29"/>
      <c r="GI122" s="29"/>
    </row>
    <row r="123" spans="1:191" ht="15.75">
      <c r="A123" s="228" t="s">
        <v>1046</v>
      </c>
      <c r="B123" s="29"/>
      <c r="D123" s="14"/>
      <c r="E123" s="5"/>
      <c r="F123" s="5"/>
      <c r="G123" s="5"/>
      <c r="H123" s="5"/>
      <c r="I123" s="6"/>
      <c r="J123" s="13"/>
      <c r="K123" s="24"/>
      <c r="L123" s="50">
        <v>0.14000000000000001</v>
      </c>
      <c r="M123" s="50"/>
      <c r="N123" s="61">
        <v>0.3</v>
      </c>
      <c r="O123" s="50"/>
      <c r="Q123" s="67"/>
      <c r="AC123" s="29"/>
      <c r="AI123" s="56">
        <v>44.17</v>
      </c>
      <c r="AJ123" s="119">
        <f t="shared" si="11"/>
        <v>315.5</v>
      </c>
      <c r="AK123" s="32">
        <f t="shared" si="13"/>
        <v>40.07036145</v>
      </c>
      <c r="AQ123" s="148"/>
      <c r="AR123" s="73"/>
      <c r="AS123" s="70"/>
      <c r="AT123" s="29"/>
      <c r="AU123" s="34">
        <f>AI123</f>
        <v>44.17</v>
      </c>
      <c r="AZ123" s="34" t="s">
        <v>1119</v>
      </c>
      <c r="BA123" s="29"/>
      <c r="BD123" s="75"/>
      <c r="BE123" s="29"/>
      <c r="BH123" s="75"/>
      <c r="BI123" s="75"/>
      <c r="BJ123" s="75"/>
      <c r="BK123" s="75"/>
      <c r="BL123" s="75"/>
      <c r="BM123" s="75"/>
      <c r="BN123" s="75"/>
      <c r="BO123" s="75"/>
      <c r="BP123" s="75"/>
      <c r="BQ123" s="29"/>
      <c r="BR123" s="29"/>
      <c r="CC123" s="29"/>
      <c r="CX123" s="29"/>
      <c r="DA123" s="29"/>
      <c r="DD123" s="29"/>
      <c r="DH123" s="29"/>
      <c r="DS123" s="29"/>
      <c r="EE123" s="29"/>
      <c r="EL123" s="99"/>
      <c r="EM123" s="112"/>
      <c r="EN123" s="112"/>
      <c r="EO123" s="112"/>
      <c r="EP123" s="112"/>
      <c r="EQ123" s="112"/>
      <c r="ES123" s="99"/>
      <c r="ET123" s="229"/>
      <c r="EV123" s="29"/>
      <c r="EX123" s="29"/>
      <c r="FI123" s="29"/>
      <c r="FL123" s="29"/>
      <c r="FR123" s="29"/>
      <c r="FX123" s="29"/>
      <c r="GD123" s="29"/>
      <c r="GE123" s="29"/>
      <c r="GI123" s="29"/>
    </row>
    <row r="124" spans="1:191" ht="15.75">
      <c r="A124" s="228" t="s">
        <v>701</v>
      </c>
      <c r="B124" s="29" t="s">
        <v>629</v>
      </c>
      <c r="D124" s="5"/>
      <c r="E124" s="5" t="s">
        <v>930</v>
      </c>
      <c r="F124" s="5"/>
      <c r="G124" s="5" t="s">
        <v>931</v>
      </c>
      <c r="H124" s="5" t="s">
        <v>714</v>
      </c>
      <c r="I124" s="6" t="s">
        <v>932</v>
      </c>
      <c r="J124" s="5"/>
      <c r="K124" s="20"/>
      <c r="L124">
        <v>0.91300000000000003</v>
      </c>
      <c r="M124">
        <v>0.91300000000000003</v>
      </c>
      <c r="N124" s="4">
        <v>2</v>
      </c>
      <c r="O124">
        <v>2</v>
      </c>
      <c r="P124">
        <v>9100</v>
      </c>
      <c r="Q124" s="67">
        <f>L124*1000000/P124</f>
        <v>100.32967032967034</v>
      </c>
      <c r="R124" t="s">
        <v>38</v>
      </c>
      <c r="T124" t="s">
        <v>429</v>
      </c>
      <c r="U124" t="s">
        <v>38</v>
      </c>
      <c r="W124" t="s">
        <v>430</v>
      </c>
      <c r="Y124" t="s">
        <v>39</v>
      </c>
      <c r="AA124" t="s">
        <v>43</v>
      </c>
      <c r="AC124" s="29" t="s">
        <v>44</v>
      </c>
      <c r="AI124" s="29">
        <v>368</v>
      </c>
      <c r="AJ124" s="119">
        <f t="shared" si="11"/>
        <v>403.06681270536689</v>
      </c>
      <c r="AK124" s="32">
        <f t="shared" si="13"/>
        <v>333.84408000000002</v>
      </c>
      <c r="AP124">
        <v>3</v>
      </c>
      <c r="AQ124" s="148"/>
      <c r="AR124" s="73"/>
      <c r="AS124" s="70"/>
      <c r="AT124" s="29"/>
      <c r="AU124">
        <v>368</v>
      </c>
      <c r="BA124" s="29"/>
      <c r="BB124" t="s">
        <v>39</v>
      </c>
      <c r="BC124" t="s">
        <v>431</v>
      </c>
      <c r="BD124" s="75">
        <v>3338200</v>
      </c>
      <c r="BE124" s="29" t="s">
        <v>38</v>
      </c>
      <c r="BG124" t="s">
        <v>432</v>
      </c>
      <c r="BH124" s="75"/>
      <c r="BI124" s="75"/>
      <c r="BJ124" s="75"/>
      <c r="BK124" s="75"/>
      <c r="BL124" s="75"/>
      <c r="BM124" s="75"/>
      <c r="BN124" s="75"/>
      <c r="BO124" s="75"/>
      <c r="BP124" s="75" t="s">
        <v>433</v>
      </c>
      <c r="BQ124" s="29">
        <v>40</v>
      </c>
      <c r="BR124" s="29" t="s">
        <v>71</v>
      </c>
      <c r="BS124" t="s">
        <v>72</v>
      </c>
      <c r="BT124" t="s">
        <v>73</v>
      </c>
      <c r="CC124" s="29"/>
      <c r="CD124" t="s">
        <v>170</v>
      </c>
      <c r="CK124" t="s">
        <v>170</v>
      </c>
      <c r="CR124" t="s">
        <v>170</v>
      </c>
      <c r="CX124" s="29"/>
      <c r="CZ124" t="s">
        <v>105</v>
      </c>
      <c r="DA124" s="29"/>
      <c r="DC124" t="s">
        <v>43</v>
      </c>
      <c r="DD124" s="29"/>
      <c r="DG124">
        <v>100</v>
      </c>
      <c r="DH124" s="29"/>
      <c r="DS124" s="29"/>
      <c r="EB124" t="s">
        <v>132</v>
      </c>
      <c r="EE124" s="29"/>
      <c r="EH124">
        <v>100</v>
      </c>
      <c r="EL124" s="99"/>
      <c r="EM124" s="112"/>
      <c r="EN124" s="112"/>
      <c r="EO124" s="113">
        <f>325*0.78</f>
        <v>253.5</v>
      </c>
      <c r="EP124" s="112"/>
      <c r="EQ124" s="112"/>
      <c r="ER124" t="s">
        <v>434</v>
      </c>
      <c r="ES124" s="99">
        <v>371115.2</v>
      </c>
      <c r="ET124" s="229">
        <f>ES124/AI124</f>
        <v>1008.4652173913043</v>
      </c>
      <c r="EV124" s="29">
        <v>25</v>
      </c>
      <c r="EW124">
        <v>99</v>
      </c>
      <c r="EX124" s="29" t="s">
        <v>435</v>
      </c>
      <c r="FC124" t="s">
        <v>436</v>
      </c>
      <c r="FE124" t="s">
        <v>307</v>
      </c>
      <c r="FI124" s="29"/>
      <c r="FJ124" t="s">
        <v>39</v>
      </c>
      <c r="FK124" t="s">
        <v>437</v>
      </c>
      <c r="FL124" s="29"/>
      <c r="FO124" t="s">
        <v>155</v>
      </c>
      <c r="FQ124" t="s">
        <v>438</v>
      </c>
      <c r="FR124" s="29"/>
      <c r="FV124" t="s">
        <v>162</v>
      </c>
      <c r="FW124" s="40" t="s">
        <v>439</v>
      </c>
      <c r="FX124" s="29" t="s">
        <v>158</v>
      </c>
      <c r="GC124" t="s">
        <v>440</v>
      </c>
      <c r="GD124" s="29"/>
      <c r="GE124" s="29"/>
      <c r="GI124" s="29"/>
    </row>
    <row r="125" spans="1:191" ht="15.75">
      <c r="A125" s="295" t="s">
        <v>1047</v>
      </c>
      <c r="B125" s="29"/>
      <c r="D125" s="5"/>
      <c r="E125" s="5"/>
      <c r="F125" s="5"/>
      <c r="G125" s="5"/>
      <c r="H125" s="5"/>
      <c r="I125" s="6"/>
      <c r="J125" s="5"/>
      <c r="K125" s="20"/>
      <c r="L125" s="50">
        <v>0.78</v>
      </c>
      <c r="M125" s="50"/>
      <c r="N125" s="61">
        <v>1</v>
      </c>
      <c r="O125" s="50"/>
      <c r="Q125" s="67"/>
      <c r="AC125" s="29"/>
      <c r="AI125" s="33">
        <f>1.10231162684681*AK125</f>
        <v>143.2674421412799</v>
      </c>
      <c r="AJ125" s="119">
        <f t="shared" si="11"/>
        <v>183.67620787343577</v>
      </c>
      <c r="AK125" s="47">
        <v>129.97</v>
      </c>
      <c r="AQ125" s="148" t="s">
        <v>38</v>
      </c>
      <c r="AR125" s="73">
        <v>129.97</v>
      </c>
      <c r="AS125" s="70">
        <v>119.1</v>
      </c>
      <c r="AT125" s="89">
        <f>1.10231162684681*16.5</f>
        <v>18.188141842972367</v>
      </c>
      <c r="AU125" s="47">
        <f>1.10231162684681*117.7</f>
        <v>129.74207847986955</v>
      </c>
      <c r="BA125" s="29"/>
      <c r="BD125" s="75"/>
      <c r="BE125" s="29"/>
      <c r="BH125" s="75"/>
      <c r="BI125" s="75"/>
      <c r="BJ125" s="75"/>
      <c r="BK125" s="75"/>
      <c r="BL125" s="75"/>
      <c r="BM125" s="75"/>
      <c r="BN125" s="75"/>
      <c r="BO125" s="75"/>
      <c r="BP125" s="75"/>
      <c r="BQ125" s="29"/>
      <c r="BR125" s="29"/>
      <c r="CC125" s="29"/>
      <c r="CX125" s="29"/>
      <c r="DA125" s="29"/>
      <c r="DD125" s="29"/>
      <c r="DH125" s="29"/>
      <c r="DS125" s="29"/>
      <c r="EE125" s="29"/>
      <c r="EL125" s="99"/>
      <c r="EM125" s="112"/>
      <c r="EN125" s="112"/>
      <c r="EO125" s="112"/>
      <c r="EP125" s="112"/>
      <c r="EQ125" s="112"/>
      <c r="ES125" s="99"/>
      <c r="ET125" s="229"/>
      <c r="EV125" s="29"/>
      <c r="EX125" s="29"/>
      <c r="FI125" s="29"/>
      <c r="FL125" s="29"/>
      <c r="FR125" s="29"/>
      <c r="FX125" s="29"/>
      <c r="GD125" s="29"/>
      <c r="GE125" s="29"/>
      <c r="GI125" s="29"/>
    </row>
    <row r="126" spans="1:191" ht="15.75">
      <c r="A126" s="228" t="s">
        <v>702</v>
      </c>
      <c r="B126" s="29" t="s">
        <v>321</v>
      </c>
      <c r="D126" s="14"/>
      <c r="E126" s="5" t="s">
        <v>933</v>
      </c>
      <c r="F126" s="5"/>
      <c r="G126" s="5" t="s">
        <v>934</v>
      </c>
      <c r="H126" s="5" t="s">
        <v>714</v>
      </c>
      <c r="I126" s="6" t="s">
        <v>935</v>
      </c>
      <c r="J126" s="5"/>
      <c r="K126" s="20"/>
      <c r="L126">
        <v>1</v>
      </c>
      <c r="M126">
        <v>1</v>
      </c>
      <c r="N126" s="4">
        <v>1.56</v>
      </c>
      <c r="O126">
        <v>1.56</v>
      </c>
      <c r="P126">
        <v>20000</v>
      </c>
      <c r="Q126" s="67">
        <f>L126*1000000/P126</f>
        <v>50</v>
      </c>
      <c r="R126" t="s">
        <v>38</v>
      </c>
      <c r="T126" t="s">
        <v>322</v>
      </c>
      <c r="U126" t="s">
        <v>38</v>
      </c>
      <c r="W126" t="s">
        <v>323</v>
      </c>
      <c r="X126" t="s">
        <v>38</v>
      </c>
      <c r="AC126" s="29"/>
      <c r="AD126" t="s">
        <v>45</v>
      </c>
      <c r="AI126" s="33">
        <f>1.10231162684681*AK126</f>
        <v>565.48586457241356</v>
      </c>
      <c r="AJ126" s="119">
        <f t="shared" si="11"/>
        <v>565.48586457241356</v>
      </c>
      <c r="AK126">
        <v>513</v>
      </c>
      <c r="AP126">
        <v>5</v>
      </c>
      <c r="AQ126" s="148" t="s">
        <v>38</v>
      </c>
      <c r="AR126" s="73">
        <v>515.13</v>
      </c>
      <c r="AS126" s="70"/>
      <c r="AT126" s="29"/>
      <c r="AU126" s="32">
        <f>1.10231162684681*513</f>
        <v>565.48586457241356</v>
      </c>
      <c r="BA126" s="29" t="s">
        <v>38</v>
      </c>
      <c r="BD126" s="75">
        <v>2000000</v>
      </c>
      <c r="BE126" s="29" t="s">
        <v>38</v>
      </c>
      <c r="BG126" t="s">
        <v>324</v>
      </c>
      <c r="BH126" s="75"/>
      <c r="BI126" s="75"/>
      <c r="BJ126" s="75"/>
      <c r="BK126" s="75"/>
      <c r="BL126" s="75"/>
      <c r="BM126" s="75"/>
      <c r="BN126" s="75"/>
      <c r="BO126" s="75"/>
      <c r="BP126" s="75"/>
      <c r="BQ126" s="29"/>
      <c r="BR126" s="29"/>
      <c r="BS126" t="s">
        <v>72</v>
      </c>
      <c r="CC126" s="29"/>
      <c r="CL126" t="s">
        <v>171</v>
      </c>
      <c r="CS126" t="s">
        <v>171</v>
      </c>
      <c r="CX126" s="29"/>
      <c r="CZ126" t="s">
        <v>105</v>
      </c>
      <c r="DA126" s="29" t="s">
        <v>106</v>
      </c>
      <c r="DD126" s="29"/>
      <c r="DH126" s="29"/>
      <c r="DS126" s="29"/>
      <c r="DY126" t="s">
        <v>129</v>
      </c>
      <c r="EE126" s="29"/>
      <c r="EH126">
        <v>100</v>
      </c>
      <c r="EL126" s="99"/>
      <c r="EM126" s="112"/>
      <c r="EN126" s="112"/>
      <c r="EO126" s="113"/>
      <c r="EP126" s="112"/>
      <c r="EQ126" s="112"/>
      <c r="ES126" s="99">
        <v>425000</v>
      </c>
      <c r="ET126" s="229">
        <f>ES126/AI126</f>
        <v>751.5660896693845</v>
      </c>
      <c r="EV126" s="29">
        <v>40</v>
      </c>
      <c r="EW126">
        <v>50</v>
      </c>
      <c r="EX126" s="29"/>
      <c r="FA126" t="s">
        <v>325</v>
      </c>
      <c r="FH126" t="s">
        <v>326</v>
      </c>
      <c r="FI126" s="29" t="s">
        <v>38</v>
      </c>
      <c r="FL126" s="29" t="s">
        <v>152</v>
      </c>
      <c r="FR126" s="29"/>
      <c r="FS126" t="s">
        <v>159</v>
      </c>
      <c r="FX126" s="29" t="s">
        <v>158</v>
      </c>
      <c r="GD126" s="29"/>
      <c r="GE126" s="29"/>
      <c r="GI126" s="29"/>
    </row>
    <row r="127" spans="1:191" ht="45">
      <c r="A127" s="228" t="s">
        <v>703</v>
      </c>
      <c r="B127" s="29" t="s">
        <v>316</v>
      </c>
      <c r="D127" s="14"/>
      <c r="E127" s="5" t="s">
        <v>936</v>
      </c>
      <c r="F127" s="5"/>
      <c r="G127" s="5" t="s">
        <v>937</v>
      </c>
      <c r="H127" s="5" t="s">
        <v>714</v>
      </c>
      <c r="I127" s="6" t="s">
        <v>938</v>
      </c>
      <c r="J127" s="14"/>
      <c r="K127" s="21"/>
      <c r="L127">
        <v>0.25</v>
      </c>
      <c r="M127">
        <v>0.25</v>
      </c>
      <c r="N127" s="4">
        <v>4</v>
      </c>
      <c r="O127">
        <v>4</v>
      </c>
      <c r="P127">
        <v>2760</v>
      </c>
      <c r="Q127" s="67">
        <f>L127*1000000/P127</f>
        <v>90.579710144927532</v>
      </c>
      <c r="S127" t="s">
        <v>39</v>
      </c>
      <c r="V127" t="s">
        <v>39</v>
      </c>
      <c r="Y127" t="s">
        <v>39</v>
      </c>
      <c r="AC127" s="29" t="s">
        <v>44</v>
      </c>
      <c r="AI127" s="29">
        <v>55</v>
      </c>
      <c r="AJ127" s="119">
        <f t="shared" si="11"/>
        <v>220</v>
      </c>
      <c r="AK127" s="32">
        <f>AI127*0.907185</f>
        <v>49.895175000000002</v>
      </c>
      <c r="AP127">
        <v>6</v>
      </c>
      <c r="AQ127" s="148" t="s">
        <v>38</v>
      </c>
      <c r="AR127" s="73">
        <v>43</v>
      </c>
      <c r="AS127" s="70"/>
      <c r="AT127" s="29"/>
      <c r="AU127">
        <v>55</v>
      </c>
      <c r="BA127" s="29" t="s">
        <v>38</v>
      </c>
      <c r="BD127" s="75">
        <v>102000</v>
      </c>
      <c r="BE127" s="29" t="s">
        <v>38</v>
      </c>
      <c r="BH127" s="75"/>
      <c r="BI127" s="75">
        <v>31500</v>
      </c>
      <c r="BJ127" s="75"/>
      <c r="BK127" s="75"/>
      <c r="BL127" s="75"/>
      <c r="BM127" s="75"/>
      <c r="BN127" s="75"/>
      <c r="BO127" s="75"/>
      <c r="BP127" s="75"/>
      <c r="BQ127" s="29">
        <v>50</v>
      </c>
      <c r="BR127" s="29"/>
      <c r="BS127" t="s">
        <v>72</v>
      </c>
      <c r="CC127" s="29"/>
      <c r="CD127" t="s">
        <v>170</v>
      </c>
      <c r="CK127" t="s">
        <v>170</v>
      </c>
      <c r="CR127" t="s">
        <v>170</v>
      </c>
      <c r="CX127" s="29"/>
      <c r="CZ127" t="s">
        <v>105</v>
      </c>
      <c r="DA127" s="29"/>
      <c r="DC127" t="s">
        <v>43</v>
      </c>
      <c r="DD127" s="29"/>
      <c r="DG127">
        <v>100</v>
      </c>
      <c r="DH127" s="29"/>
      <c r="DS127" s="29"/>
      <c r="DZ127" t="s">
        <v>130</v>
      </c>
      <c r="EE127" s="29"/>
      <c r="EH127">
        <v>100</v>
      </c>
      <c r="EL127" s="99"/>
      <c r="EM127" s="112"/>
      <c r="EN127" s="112"/>
      <c r="EO127" s="112">
        <v>330</v>
      </c>
      <c r="EP127" s="112"/>
      <c r="EQ127" s="112"/>
      <c r="ES127" s="99">
        <v>18150</v>
      </c>
      <c r="ET127" s="229">
        <f>ES127/AI127</f>
        <v>330</v>
      </c>
      <c r="EV127" s="29">
        <v>50</v>
      </c>
      <c r="EW127">
        <v>50</v>
      </c>
      <c r="EX127" s="29" t="s">
        <v>317</v>
      </c>
      <c r="FH127" t="s">
        <v>318</v>
      </c>
      <c r="FI127" s="29" t="s">
        <v>38</v>
      </c>
      <c r="FL127" s="29"/>
      <c r="FM127" t="s">
        <v>153</v>
      </c>
      <c r="FR127" s="29"/>
      <c r="FV127" t="s">
        <v>162</v>
      </c>
      <c r="FW127" s="40" t="s">
        <v>319</v>
      </c>
      <c r="FX127" s="29"/>
      <c r="FY127" t="s">
        <v>159</v>
      </c>
      <c r="GC127" t="s">
        <v>320</v>
      </c>
      <c r="GD127" s="29"/>
      <c r="GE127" s="29"/>
      <c r="GI127" s="29"/>
    </row>
    <row r="128" spans="1:191" ht="31.5">
      <c r="A128" s="228" t="s">
        <v>704</v>
      </c>
      <c r="B128" s="29" t="s">
        <v>620</v>
      </c>
      <c r="D128" s="14"/>
      <c r="E128" s="5" t="s">
        <v>939</v>
      </c>
      <c r="F128" s="5"/>
      <c r="G128" s="5" t="s">
        <v>940</v>
      </c>
      <c r="H128" s="5" t="s">
        <v>714</v>
      </c>
      <c r="I128" s="6" t="s">
        <v>941</v>
      </c>
      <c r="J128" s="110"/>
      <c r="K128" s="18"/>
      <c r="L128">
        <v>2.5000000000000001E-2</v>
      </c>
      <c r="M128">
        <v>2.5000000000000001E-2</v>
      </c>
      <c r="N128" s="4">
        <v>5.1999999999999998E-2</v>
      </c>
      <c r="O128">
        <v>5.1999999999999998E-2</v>
      </c>
      <c r="P128">
        <v>300</v>
      </c>
      <c r="Q128" s="67">
        <f>L128*1000000/P128</f>
        <v>83.333333333333329</v>
      </c>
      <c r="R128" t="s">
        <v>38</v>
      </c>
      <c r="T128" t="s">
        <v>193</v>
      </c>
      <c r="U128" t="s">
        <v>38</v>
      </c>
      <c r="W128" t="s">
        <v>194</v>
      </c>
      <c r="Y128" t="s">
        <v>39</v>
      </c>
      <c r="AC128" s="29"/>
      <c r="AH128" t="s">
        <v>49</v>
      </c>
      <c r="AI128" s="33">
        <f>8.35/2000*AP128/100*AO128</f>
        <v>16.7</v>
      </c>
      <c r="AJ128" s="119">
        <f t="shared" si="11"/>
        <v>667.99999999999989</v>
      </c>
      <c r="AK128" s="32">
        <f>AI128*0.907185</f>
        <v>15.1499895</v>
      </c>
      <c r="AO128">
        <v>200000</v>
      </c>
      <c r="AP128">
        <v>2</v>
      </c>
      <c r="AQ128" s="148"/>
      <c r="AR128" s="73"/>
      <c r="AS128" s="70"/>
      <c r="AT128" s="29"/>
      <c r="AY128" s="80">
        <f>AI128</f>
        <v>16.7</v>
      </c>
      <c r="AZ128" s="80" t="s">
        <v>195</v>
      </c>
      <c r="BA128" s="29"/>
      <c r="BB128" t="s">
        <v>39</v>
      </c>
      <c r="BD128" s="75">
        <v>0</v>
      </c>
      <c r="BE128" s="29"/>
      <c r="BF128" t="s">
        <v>39</v>
      </c>
      <c r="BH128" s="75"/>
      <c r="BI128" s="75"/>
      <c r="BJ128" s="75"/>
      <c r="BK128" s="75"/>
      <c r="BL128" s="75"/>
      <c r="BM128" s="75"/>
      <c r="BN128" s="75"/>
      <c r="BO128" s="75"/>
      <c r="BP128" s="75"/>
      <c r="BQ128" s="29">
        <v>100</v>
      </c>
      <c r="BR128" s="29"/>
      <c r="BT128" t="s">
        <v>73</v>
      </c>
      <c r="CC128" s="29"/>
      <c r="CJ128" t="s">
        <v>196</v>
      </c>
      <c r="CX128" s="29"/>
      <c r="CZ128" t="s">
        <v>105</v>
      </c>
      <c r="DA128" s="29"/>
      <c r="DC128" t="s">
        <v>43</v>
      </c>
      <c r="DD128" s="29"/>
      <c r="DG128">
        <v>100</v>
      </c>
      <c r="DH128" s="29"/>
      <c r="DS128" s="29"/>
      <c r="EB128" t="s">
        <v>132</v>
      </c>
      <c r="EE128" s="29"/>
      <c r="EK128" t="s">
        <v>197</v>
      </c>
      <c r="EL128" s="99"/>
      <c r="EM128" s="112"/>
      <c r="EN128" s="112"/>
      <c r="EO128" s="112"/>
      <c r="EP128" s="112"/>
      <c r="EQ128" s="112"/>
      <c r="ES128" s="99">
        <v>27000</v>
      </c>
      <c r="ET128" s="229">
        <f>ES128/AI128</f>
        <v>1616.7664670658683</v>
      </c>
      <c r="EV128" s="29">
        <v>10</v>
      </c>
      <c r="EW128">
        <v>40</v>
      </c>
      <c r="EX128" s="29"/>
      <c r="FA128" t="s">
        <v>198</v>
      </c>
      <c r="FI128" s="29" t="s">
        <v>38</v>
      </c>
      <c r="FL128" s="29"/>
      <c r="FN128" t="s">
        <v>154</v>
      </c>
      <c r="FR128" s="29"/>
      <c r="FV128" t="s">
        <v>162</v>
      </c>
      <c r="FW128" s="40" t="s">
        <v>199</v>
      </c>
      <c r="FX128" s="29"/>
      <c r="FZ128" t="s">
        <v>160</v>
      </c>
      <c r="GD128" s="29"/>
      <c r="GE128" s="29"/>
      <c r="GI128" s="29"/>
    </row>
    <row r="129" spans="1:195" ht="31.5">
      <c r="A129" s="228" t="s">
        <v>705</v>
      </c>
      <c r="B129" s="29" t="s">
        <v>423</v>
      </c>
      <c r="D129" s="14"/>
      <c r="E129" s="5" t="s">
        <v>961</v>
      </c>
      <c r="F129" s="14" t="s">
        <v>962</v>
      </c>
      <c r="G129" s="14" t="s">
        <v>942</v>
      </c>
      <c r="H129" s="14" t="s">
        <v>714</v>
      </c>
      <c r="I129" s="15" t="s">
        <v>963</v>
      </c>
      <c r="J129" s="14"/>
      <c r="K129" s="23"/>
      <c r="L129">
        <v>3.3</v>
      </c>
      <c r="M129">
        <v>3.3</v>
      </c>
      <c r="N129" s="4">
        <v>6</v>
      </c>
      <c r="O129">
        <v>6</v>
      </c>
      <c r="P129">
        <v>22000</v>
      </c>
      <c r="Q129" s="67">
        <f>L129*1000000/P129</f>
        <v>150</v>
      </c>
      <c r="S129" t="s">
        <v>39</v>
      </c>
      <c r="U129" t="s">
        <v>38</v>
      </c>
      <c r="W129" t="s">
        <v>424</v>
      </c>
      <c r="X129" t="s">
        <v>38</v>
      </c>
      <c r="AC129" s="29"/>
      <c r="AH129" t="s">
        <v>49</v>
      </c>
      <c r="AI129" s="33">
        <f>8.35/2000*AP129/100*AO129</f>
        <v>564.81487499999992</v>
      </c>
      <c r="AJ129" s="119">
        <f t="shared" si="11"/>
        <v>171.1560227272727</v>
      </c>
      <c r="AK129" s="32">
        <f>AI129*0.907185</f>
        <v>512.39158237687491</v>
      </c>
      <c r="AO129">
        <v>2705700</v>
      </c>
      <c r="AP129">
        <v>5</v>
      </c>
      <c r="AQ129" s="148"/>
      <c r="AR129" s="73"/>
      <c r="AS129" s="70"/>
      <c r="AT129" s="29"/>
      <c r="AU129" s="32">
        <f>AI129</f>
        <v>564.81487499999992</v>
      </c>
      <c r="BA129" s="29" t="s">
        <v>38</v>
      </c>
      <c r="BD129" s="75">
        <v>1750000</v>
      </c>
      <c r="BE129" s="29"/>
      <c r="BF129" t="s">
        <v>39</v>
      </c>
      <c r="BH129" s="75"/>
      <c r="BI129" s="75"/>
      <c r="BJ129" s="75"/>
      <c r="BK129" s="75"/>
      <c r="BL129" s="75"/>
      <c r="BM129" s="75"/>
      <c r="BN129" s="75"/>
      <c r="BO129" s="75"/>
      <c r="BP129" s="75"/>
      <c r="BQ129" s="29">
        <v>0</v>
      </c>
      <c r="BR129" s="29"/>
      <c r="BS129" t="s">
        <v>72</v>
      </c>
      <c r="CC129" s="29"/>
      <c r="CL129" t="s">
        <v>171</v>
      </c>
      <c r="CX129" s="29"/>
      <c r="CY129" t="s">
        <v>104</v>
      </c>
      <c r="DA129" s="29" t="s">
        <v>106</v>
      </c>
      <c r="DD129" s="29"/>
      <c r="DG129">
        <v>100</v>
      </c>
      <c r="DH129" s="29"/>
      <c r="DS129" s="29"/>
      <c r="DY129" t="s">
        <v>129</v>
      </c>
      <c r="EE129" s="29"/>
      <c r="EH129">
        <v>100</v>
      </c>
      <c r="EL129" s="99"/>
      <c r="EM129" s="112"/>
      <c r="EN129" s="112"/>
      <c r="EO129" s="113">
        <f>0.09/(8.35/2000)</f>
        <v>21.556886227544911</v>
      </c>
      <c r="EP129" s="112"/>
      <c r="EQ129" s="112"/>
      <c r="ER129" s="68" t="s">
        <v>1197</v>
      </c>
      <c r="ES129" s="102">
        <v>298924.93</v>
      </c>
      <c r="ET129" s="229">
        <f>ES129/AI129</f>
        <v>529.24408196579463</v>
      </c>
      <c r="EV129" s="29">
        <v>0</v>
      </c>
      <c r="EW129">
        <v>20</v>
      </c>
      <c r="EX129" s="29"/>
      <c r="FI129" s="29"/>
      <c r="FJ129" t="s">
        <v>39</v>
      </c>
      <c r="FK129" t="s">
        <v>425</v>
      </c>
      <c r="FL129" s="29"/>
      <c r="FP129" t="s">
        <v>156</v>
      </c>
      <c r="FR129" s="29"/>
      <c r="FV129" t="s">
        <v>162</v>
      </c>
      <c r="FX129" s="29"/>
      <c r="GB129" t="s">
        <v>162</v>
      </c>
      <c r="GD129" s="29"/>
      <c r="GE129" s="29"/>
      <c r="GI129" s="29"/>
    </row>
    <row r="130" spans="1:195" ht="15.75">
      <c r="A130" s="228" t="s">
        <v>1048</v>
      </c>
      <c r="B130" s="29"/>
      <c r="D130" s="14"/>
      <c r="E130" s="5"/>
      <c r="F130" s="14"/>
      <c r="G130" s="14"/>
      <c r="H130" s="14"/>
      <c r="I130" s="15"/>
      <c r="J130" s="14"/>
      <c r="K130" s="23"/>
      <c r="L130" s="50">
        <v>0.01</v>
      </c>
      <c r="M130" s="50"/>
      <c r="N130" s="61">
        <v>7.5999999999999998E-2</v>
      </c>
      <c r="O130" s="50"/>
      <c r="Q130" s="67"/>
      <c r="AC130" s="29"/>
      <c r="AI130" s="56">
        <v>7.3680000000000003</v>
      </c>
      <c r="AJ130" s="119">
        <f t="shared" si="11"/>
        <v>736.80000000000007</v>
      </c>
      <c r="AK130" s="32">
        <f>AI130*0.907185</f>
        <v>6.6841390800000005</v>
      </c>
      <c r="AQ130" s="148"/>
      <c r="AR130" s="73"/>
      <c r="AS130" s="70"/>
      <c r="AT130" s="29"/>
      <c r="AU130" s="34">
        <f>AI130</f>
        <v>7.3680000000000003</v>
      </c>
      <c r="AZ130" s="34" t="s">
        <v>1112</v>
      </c>
      <c r="BA130" s="29"/>
      <c r="BD130" s="75"/>
      <c r="BE130" s="29"/>
      <c r="BH130" s="75"/>
      <c r="BI130" s="75"/>
      <c r="BJ130" s="75"/>
      <c r="BK130" s="75"/>
      <c r="BL130" s="75"/>
      <c r="BM130" s="75"/>
      <c r="BN130" s="75"/>
      <c r="BO130" s="75"/>
      <c r="BP130" s="75"/>
      <c r="BQ130" s="29"/>
      <c r="BR130" s="29"/>
      <c r="CC130" s="29"/>
      <c r="CX130" s="29"/>
      <c r="DA130" s="29"/>
      <c r="DD130" s="29"/>
      <c r="DH130" s="29"/>
      <c r="DS130" s="29"/>
      <c r="EE130" s="29"/>
      <c r="EL130" s="99"/>
      <c r="EM130" s="112"/>
      <c r="EN130" s="112"/>
      <c r="EO130" s="112"/>
      <c r="EP130" s="112"/>
      <c r="EQ130" s="112"/>
      <c r="ES130" s="102"/>
      <c r="ET130" s="229"/>
      <c r="EV130" s="29"/>
      <c r="EX130" s="29"/>
      <c r="FI130" s="29"/>
      <c r="FL130" s="29"/>
      <c r="FR130" s="29"/>
      <c r="FX130" s="29"/>
      <c r="GD130" s="29"/>
      <c r="GE130" s="29"/>
      <c r="GI130" s="29"/>
    </row>
    <row r="131" spans="1:195" ht="31.5">
      <c r="A131" s="295" t="s">
        <v>1336</v>
      </c>
      <c r="B131" s="29"/>
      <c r="D131" s="14"/>
      <c r="E131" s="5"/>
      <c r="F131" s="14"/>
      <c r="G131" s="14"/>
      <c r="H131" s="14"/>
      <c r="I131" s="15"/>
      <c r="J131" s="14"/>
      <c r="K131" s="23"/>
      <c r="L131" s="50">
        <v>1.31</v>
      </c>
      <c r="M131" s="50"/>
      <c r="N131" s="61">
        <v>1.31</v>
      </c>
      <c r="O131" s="50"/>
      <c r="Q131" s="67"/>
      <c r="AC131" s="29"/>
      <c r="AI131" s="33">
        <f>1.10231162684681*AK131</f>
        <v>1856.9872359349417</v>
      </c>
      <c r="AJ131" s="119">
        <f t="shared" si="11"/>
        <v>1417.5475083472836</v>
      </c>
      <c r="AK131" s="47">
        <v>1684.63</v>
      </c>
      <c r="AQ131" s="148" t="s">
        <v>38</v>
      </c>
      <c r="AR131" s="73">
        <v>1684.63</v>
      </c>
      <c r="AS131" s="70"/>
      <c r="AT131" s="29"/>
      <c r="AU131" s="34">
        <f>AI131</f>
        <v>1856.9872359349417</v>
      </c>
      <c r="AZ131" s="34" t="s">
        <v>1112</v>
      </c>
      <c r="BA131" s="29"/>
      <c r="BD131" s="75"/>
      <c r="BE131" s="29"/>
      <c r="BH131" s="75"/>
      <c r="BI131" s="75"/>
      <c r="BJ131" s="75"/>
      <c r="BK131" s="75"/>
      <c r="BL131" s="75"/>
      <c r="BM131" s="75"/>
      <c r="BN131" s="75"/>
      <c r="BO131" s="75"/>
      <c r="BP131" s="75"/>
      <c r="BQ131" s="29"/>
      <c r="BR131" s="29"/>
      <c r="CC131" s="29"/>
      <c r="CX131" s="29"/>
      <c r="DA131" s="29"/>
      <c r="DD131" s="29"/>
      <c r="DH131" s="29"/>
      <c r="DS131" s="29"/>
      <c r="EE131" s="29"/>
      <c r="EL131" s="99"/>
      <c r="EM131" s="112"/>
      <c r="EN131" s="112"/>
      <c r="EO131" s="112"/>
      <c r="EP131" s="112"/>
      <c r="EQ131" s="112"/>
      <c r="ES131" s="102"/>
      <c r="ET131" s="229"/>
      <c r="EV131" s="29"/>
      <c r="EX131" s="29"/>
      <c r="FI131" s="29"/>
      <c r="FL131" s="29"/>
      <c r="FR131" s="29"/>
      <c r="FX131" s="29"/>
      <c r="GD131" s="29"/>
      <c r="GE131" s="29"/>
      <c r="GI131" s="29"/>
    </row>
    <row r="132" spans="1:195" ht="15.75">
      <c r="A132" s="228" t="s">
        <v>706</v>
      </c>
      <c r="B132" s="29" t="s">
        <v>633</v>
      </c>
      <c r="D132" s="5"/>
      <c r="E132" s="5" t="s">
        <v>943</v>
      </c>
      <c r="F132" s="5"/>
      <c r="G132" s="5" t="s">
        <v>944</v>
      </c>
      <c r="H132" s="5" t="s">
        <v>714</v>
      </c>
      <c r="I132" s="6" t="s">
        <v>1322</v>
      </c>
      <c r="J132" s="5"/>
      <c r="K132" s="20"/>
      <c r="L132">
        <v>3.5</v>
      </c>
      <c r="M132">
        <v>3.5</v>
      </c>
      <c r="N132" s="4">
        <v>6.1</v>
      </c>
      <c r="O132">
        <v>6.1</v>
      </c>
      <c r="P132">
        <v>8000</v>
      </c>
      <c r="Q132" s="67">
        <f>L132*1000000/P132</f>
        <v>437.5</v>
      </c>
      <c r="R132" t="s">
        <v>38</v>
      </c>
      <c r="T132" t="s">
        <v>572</v>
      </c>
      <c r="U132" t="s">
        <v>38</v>
      </c>
      <c r="W132" t="s">
        <v>573</v>
      </c>
      <c r="X132" t="s">
        <v>38</v>
      </c>
      <c r="AC132" s="29"/>
      <c r="AD132" t="s">
        <v>45</v>
      </c>
      <c r="AI132" s="33">
        <f>1.10231162684681*AK132</f>
        <v>1157.4272081891506</v>
      </c>
      <c r="AJ132" s="119">
        <f t="shared" si="11"/>
        <v>330.69348805404303</v>
      </c>
      <c r="AK132">
        <v>1050</v>
      </c>
      <c r="AL132">
        <v>0</v>
      </c>
      <c r="AM132">
        <v>0</v>
      </c>
      <c r="AN132">
        <v>0</v>
      </c>
      <c r="AO132">
        <v>0</v>
      </c>
      <c r="AP132">
        <v>18</v>
      </c>
      <c r="AQ132" s="148" t="s">
        <v>38</v>
      </c>
      <c r="AR132" s="73">
        <v>1154</v>
      </c>
      <c r="AS132" s="70">
        <v>1100</v>
      </c>
      <c r="AT132" s="29"/>
      <c r="AU132" s="32">
        <f>1.10231162684681*1050</f>
        <v>1157.4272081891506</v>
      </c>
      <c r="BA132" s="29" t="s">
        <v>38</v>
      </c>
      <c r="BD132" s="75">
        <v>3500000</v>
      </c>
      <c r="BE132" s="29"/>
      <c r="BF132" t="s">
        <v>39</v>
      </c>
      <c r="BH132" s="75"/>
      <c r="BI132" s="75"/>
      <c r="BJ132" s="75"/>
      <c r="BK132" s="75"/>
      <c r="BL132" s="75"/>
      <c r="BM132" s="75"/>
      <c r="BN132" s="75"/>
      <c r="BO132" s="75"/>
      <c r="BP132" s="75"/>
      <c r="BQ132" s="29">
        <v>60</v>
      </c>
      <c r="BR132" s="29" t="s">
        <v>71</v>
      </c>
      <c r="BS132" t="s">
        <v>72</v>
      </c>
      <c r="CC132" s="29" t="s">
        <v>180</v>
      </c>
      <c r="CL132" t="s">
        <v>171</v>
      </c>
      <c r="CU132" t="s">
        <v>187</v>
      </c>
      <c r="CX132" s="29"/>
      <c r="CY132" t="s">
        <v>104</v>
      </c>
      <c r="DA132" s="29" t="s">
        <v>106</v>
      </c>
      <c r="DD132" s="29"/>
      <c r="DG132">
        <v>100</v>
      </c>
      <c r="DH132" s="29"/>
      <c r="DR132" t="s">
        <v>122</v>
      </c>
      <c r="DS132" s="29" t="s">
        <v>123</v>
      </c>
      <c r="EE132" s="29"/>
      <c r="EH132">
        <v>100</v>
      </c>
      <c r="EL132" s="99"/>
      <c r="EM132" s="112"/>
      <c r="EN132" s="112"/>
      <c r="EO132" s="112">
        <v>67</v>
      </c>
      <c r="EP132" s="112"/>
      <c r="EQ132" s="112"/>
      <c r="ES132" s="99">
        <v>427661</v>
      </c>
      <c r="ET132" s="229">
        <f>ES132/AI132</f>
        <v>369.49278276350162</v>
      </c>
      <c r="EV132" s="29">
        <v>20</v>
      </c>
      <c r="EW132">
        <v>50</v>
      </c>
      <c r="EX132" s="29"/>
      <c r="FA132" t="s">
        <v>574</v>
      </c>
      <c r="FE132" t="s">
        <v>575</v>
      </c>
      <c r="FI132" s="29" t="s">
        <v>38</v>
      </c>
      <c r="FL132" s="29"/>
      <c r="FN132" t="s">
        <v>154</v>
      </c>
      <c r="FR132" s="29"/>
      <c r="FU132" t="s">
        <v>161</v>
      </c>
      <c r="FW132" s="40" t="s">
        <v>576</v>
      </c>
      <c r="FX132" s="29"/>
      <c r="FY132" t="s">
        <v>159</v>
      </c>
      <c r="GC132" t="s">
        <v>577</v>
      </c>
      <c r="GD132" s="29"/>
      <c r="GE132" s="29"/>
      <c r="GI132" s="29"/>
    </row>
    <row r="133" spans="1:195" ht="15.75">
      <c r="A133" s="228" t="s">
        <v>1049</v>
      </c>
      <c r="B133" s="29"/>
      <c r="D133" s="14"/>
      <c r="E133" s="5"/>
      <c r="F133" s="14"/>
      <c r="G133" s="14"/>
      <c r="H133" s="14"/>
      <c r="I133" s="15"/>
      <c r="J133" s="14"/>
      <c r="K133" s="23"/>
      <c r="L133" s="50">
        <v>0.72</v>
      </c>
      <c r="M133" s="50"/>
      <c r="N133" s="61">
        <v>0.72</v>
      </c>
      <c r="O133" s="50"/>
      <c r="Q133" s="67"/>
      <c r="AC133" s="29"/>
      <c r="AD133" s="103"/>
      <c r="AE133" s="103"/>
      <c r="AF133" s="103"/>
      <c r="AG133" s="103"/>
      <c r="AH133" s="103"/>
      <c r="AI133" s="56">
        <v>131</v>
      </c>
      <c r="AJ133" s="119">
        <f t="shared" si="11"/>
        <v>181.94444444444446</v>
      </c>
      <c r="AK133" s="32">
        <f>AI133*0.907185</f>
        <v>118.841235</v>
      </c>
      <c r="AQ133" s="148"/>
      <c r="AR133" s="73"/>
      <c r="AS133" s="70"/>
      <c r="AT133" s="29"/>
      <c r="AU133" s="34">
        <f>AI133</f>
        <v>131</v>
      </c>
      <c r="AY133" s="97"/>
      <c r="AZ133" s="34" t="s">
        <v>1112</v>
      </c>
      <c r="BA133" s="29"/>
      <c r="BD133" s="75"/>
      <c r="BE133" s="29"/>
      <c r="BQ133" s="29"/>
      <c r="BR133" s="29"/>
      <c r="CC133" s="29"/>
      <c r="CX133" s="29"/>
      <c r="DA133" s="29"/>
      <c r="DD133" s="29"/>
      <c r="DH133" s="29"/>
      <c r="DS133" s="29"/>
      <c r="EE133" s="29"/>
      <c r="EL133" s="99"/>
      <c r="EM133" s="112"/>
      <c r="EN133" s="112"/>
      <c r="EO133" s="112"/>
      <c r="EP133" s="112"/>
      <c r="EQ133" s="112"/>
      <c r="ES133" s="102"/>
      <c r="ET133" s="229"/>
      <c r="EV133" s="29"/>
      <c r="EX133" s="29"/>
      <c r="FI133" s="29"/>
      <c r="FL133" s="29"/>
      <c r="FR133" s="29"/>
      <c r="FX133" s="29"/>
      <c r="GD133" s="29"/>
      <c r="GE133" s="29"/>
      <c r="GI133" s="29"/>
    </row>
    <row r="134" spans="1:195" s="221" customFormat="1">
      <c r="A134" s="241" t="s">
        <v>1072</v>
      </c>
      <c r="Q134" s="242">
        <f>AVERAGE(Q12:Q133)</f>
        <v>158.27931094312123</v>
      </c>
      <c r="AJ134" s="223">
        <f>AVERAGE(AJ12:AJ133)</f>
        <v>344.83910642666058</v>
      </c>
      <c r="AQ134" s="138"/>
      <c r="AR134" s="243">
        <f>SUM(AR12:AR133)</f>
        <v>134936.7721</v>
      </c>
      <c r="AS134" s="243">
        <f>SUM(AS12:AS133)</f>
        <v>109745.54999999999</v>
      </c>
      <c r="AT134" s="285"/>
      <c r="AU134" s="261"/>
      <c r="AV134" s="261"/>
      <c r="AW134" s="261"/>
      <c r="AX134" s="261"/>
      <c r="AY134" s="261"/>
      <c r="BA134" s="138"/>
      <c r="BE134" s="138"/>
      <c r="BQ134" s="221">
        <f>AVERAGE(BQ12:BQ133)</f>
        <v>41.34375</v>
      </c>
      <c r="BR134" s="138"/>
      <c r="CC134" s="138"/>
      <c r="CX134" s="138"/>
      <c r="DA134" s="138"/>
      <c r="DD134" s="138"/>
      <c r="DH134" s="138"/>
      <c r="DS134" s="138"/>
      <c r="EE134" s="138"/>
      <c r="EL134" s="244">
        <f>AVERAGE(EL12:EL133)</f>
        <v>179.58333333333334</v>
      </c>
      <c r="EM134" s="244">
        <f t="shared" ref="EM134:EQ134" si="14">AVERAGE(EM12:EM133)</f>
        <v>365</v>
      </c>
      <c r="EN134" s="244"/>
      <c r="EO134" s="244">
        <f t="shared" si="14"/>
        <v>143.81893056288266</v>
      </c>
      <c r="EP134" s="244">
        <f t="shared" si="14"/>
        <v>175.75703645324313</v>
      </c>
      <c r="EQ134" s="244">
        <f t="shared" si="14"/>
        <v>270.00460426366084</v>
      </c>
      <c r="ER134" s="244"/>
      <c r="ES134" s="244"/>
      <c r="ET134" s="244">
        <f>AVERAGE(ET12:ET132)</f>
        <v>783.63494779451855</v>
      </c>
      <c r="EU134" s="244"/>
      <c r="EV134" s="244">
        <f t="shared" ref="EV134:EW134" si="15">AVERAGE(EV12:EV132)</f>
        <v>14.465753424657533</v>
      </c>
      <c r="EW134" s="244">
        <f t="shared" si="15"/>
        <v>36.891891891891895</v>
      </c>
      <c r="EX134" s="138"/>
      <c r="FI134" s="138"/>
      <c r="FL134" s="138"/>
      <c r="FR134" s="138"/>
      <c r="FX134" s="138"/>
      <c r="GD134" s="138"/>
      <c r="GE134" s="138"/>
      <c r="GI134" s="138"/>
    </row>
    <row r="135" spans="1:195" s="240" customFormat="1">
      <c r="A135" s="245" t="s">
        <v>978</v>
      </c>
      <c r="D135" s="246"/>
      <c r="E135" s="246"/>
      <c r="F135" s="246"/>
      <c r="G135" s="246"/>
      <c r="H135" s="246"/>
      <c r="I135" s="246"/>
      <c r="J135" s="246"/>
      <c r="K135" s="246"/>
      <c r="L135" s="302">
        <f>SUM(L12:L133)</f>
        <v>823.17829999999981</v>
      </c>
      <c r="M135" s="302">
        <f>SUM(M12:M133)</f>
        <v>793.9562999999996</v>
      </c>
      <c r="N135" s="302">
        <f>SUM(N12:N133)</f>
        <v>1012.2120000000002</v>
      </c>
      <c r="O135" s="302">
        <f>SUM(O12:O133)</f>
        <v>971.36700000000008</v>
      </c>
      <c r="P135" s="247">
        <f>SUM(P12:P133)</f>
        <v>6623992.666666667</v>
      </c>
      <c r="Q135" s="248"/>
      <c r="R135" s="240">
        <f>COUNTIF(R12:R133,"yes")</f>
        <v>43</v>
      </c>
      <c r="S135" s="240">
        <f>COUNTIF(S12:S133,"no")</f>
        <v>42</v>
      </c>
      <c r="U135" s="240">
        <f>COUNTIF(U12:U133,"yes")</f>
        <v>41</v>
      </c>
      <c r="V135" s="240">
        <f>COUNTIF(V12:V133,"no")</f>
        <v>44</v>
      </c>
      <c r="X135" s="240">
        <f>COUNTIF(X12:X133,"yes")</f>
        <v>42</v>
      </c>
      <c r="Y135" s="240">
        <f>COUNTIF(Y12:Y133,"no")</f>
        <v>35</v>
      </c>
      <c r="Z135" s="240">
        <f>COUNTIF(Z12:Z133,"don't know")</f>
        <v>0</v>
      </c>
      <c r="AA135" s="240">
        <f>COUNTIF(AA12:AA133,"Not applicable")</f>
        <v>12</v>
      </c>
      <c r="AC135" s="137">
        <f>COUNTIF(AC12:AC133,"DRY U. S. tons")</f>
        <v>33</v>
      </c>
      <c r="AD135" s="137">
        <f>COUNTIF(AD12:AD133,"DRY METRIC tons")</f>
        <v>33</v>
      </c>
      <c r="AE135" s="137">
        <f>COUNTIF(AE12:AE133,"WET U. S. tons")</f>
        <v>6</v>
      </c>
      <c r="AF135" s="137">
        <f>COUNTIF(AF12:AF133,"WET METRIC tons")</f>
        <v>0</v>
      </c>
      <c r="AG135" s="137">
        <f>COUNTIF(AG12:AG133,"Cubic yards")</f>
        <v>0</v>
      </c>
      <c r="AH135" s="137">
        <f>COUNTIF(AH12:AH133,"Gallons")</f>
        <v>8</v>
      </c>
      <c r="AI135" s="249">
        <f>SUM(AI12:AI133)</f>
        <v>180775.41316234416</v>
      </c>
      <c r="AJ135" s="136"/>
      <c r="AK135" s="136">
        <f>SUM(AK12:AK133)</f>
        <v>163996.71724911753</v>
      </c>
      <c r="AL135" s="250">
        <f>SUM(AL12:AL133)</f>
        <v>69451</v>
      </c>
      <c r="AM135" s="250">
        <f>SUM(AM12:AM133)</f>
        <v>0</v>
      </c>
      <c r="AN135" s="250">
        <f>SUM(AN12:AN133)</f>
        <v>0</v>
      </c>
      <c r="AO135" s="250">
        <f>SUM(AO12:AO133)</f>
        <v>38862972</v>
      </c>
      <c r="AP135" s="250"/>
      <c r="AQ135" s="251">
        <f>COUNTBLANK(AQ12:AQ133)</f>
        <v>61</v>
      </c>
      <c r="AR135" s="251">
        <f>COUNTBLANK(AR12:AR133)</f>
        <v>69</v>
      </c>
      <c r="AS135" s="251">
        <f>COUNTBLANK(AS12:AS133)</f>
        <v>83</v>
      </c>
      <c r="AT135" s="252">
        <f t="shared" ref="AT135:AY135" si="16">SUM(AT12:AT133)</f>
        <v>68650.796144080989</v>
      </c>
      <c r="AU135" s="243">
        <f>SUM(AU12:AU133)</f>
        <v>78352.62292167003</v>
      </c>
      <c r="AV135" s="243">
        <f>SUM(AV12:AV133)</f>
        <v>31071.692288388556</v>
      </c>
      <c r="AW135" s="243">
        <f t="shared" si="16"/>
        <v>712.57790671170255</v>
      </c>
      <c r="AX135" s="243">
        <f t="shared" si="16"/>
        <v>0</v>
      </c>
      <c r="AY135" s="243">
        <f t="shared" si="16"/>
        <v>1653.9479571736003</v>
      </c>
      <c r="BA135" s="137"/>
      <c r="BD135" s="247">
        <f>SUM(BD12:BD132)</f>
        <v>173552805</v>
      </c>
      <c r="BE135" s="136">
        <f t="shared" ref="BE135:BP135" si="17">SUM(BE12:BE132)</f>
        <v>0</v>
      </c>
      <c r="BF135" s="247">
        <f t="shared" si="17"/>
        <v>0</v>
      </c>
      <c r="BG135" s="247">
        <f t="shared" si="17"/>
        <v>0</v>
      </c>
      <c r="BH135" s="247">
        <f t="shared" si="17"/>
        <v>0</v>
      </c>
      <c r="BI135" s="247">
        <f t="shared" si="17"/>
        <v>13684230</v>
      </c>
      <c r="BJ135" s="247">
        <f t="shared" si="17"/>
        <v>7538730</v>
      </c>
      <c r="BK135" s="247">
        <f t="shared" si="17"/>
        <v>3722700</v>
      </c>
      <c r="BL135" s="247">
        <f t="shared" si="17"/>
        <v>0</v>
      </c>
      <c r="BM135" s="247">
        <f t="shared" si="17"/>
        <v>14469462</v>
      </c>
      <c r="BN135" s="247">
        <f t="shared" si="17"/>
        <v>0</v>
      </c>
      <c r="BO135" s="247">
        <f t="shared" si="17"/>
        <v>0</v>
      </c>
      <c r="BP135" s="247">
        <f t="shared" si="17"/>
        <v>0</v>
      </c>
      <c r="BQ135" s="137"/>
      <c r="BR135" s="137"/>
      <c r="CC135" s="137"/>
      <c r="CX135" s="137"/>
      <c r="DA135" s="137"/>
      <c r="DD135" s="137"/>
      <c r="DH135" s="137"/>
      <c r="DS135" s="137"/>
      <c r="EE135" s="137"/>
      <c r="EK135" s="221">
        <f>EE136+EF136+EG136+EH136+EI136+EJ136+EK136</f>
        <v>91</v>
      </c>
      <c r="EL135" s="253"/>
      <c r="EM135" s="254"/>
      <c r="EN135" s="254"/>
      <c r="EO135" s="254"/>
      <c r="EP135" s="254"/>
      <c r="EQ135" s="254"/>
      <c r="ES135" s="255">
        <f>SUM(ES12:ES133)</f>
        <v>43014720.600000001</v>
      </c>
      <c r="ET135" s="256"/>
      <c r="EV135" s="137"/>
      <c r="EX135" s="137"/>
      <c r="FI135" s="137"/>
      <c r="FL135" s="137"/>
      <c r="FR135" s="137"/>
      <c r="FX135" s="137"/>
      <c r="GD135" s="137"/>
      <c r="GE135" s="137"/>
      <c r="GI135" s="137"/>
    </row>
    <row r="136" spans="1:195" s="221" customFormat="1">
      <c r="A136" s="226" t="s">
        <v>985</v>
      </c>
      <c r="B136" s="221">
        <f>122-COUNTBLANK(B12:B133)</f>
        <v>85</v>
      </c>
      <c r="D136" s="251"/>
      <c r="E136" s="251"/>
      <c r="F136" s="251"/>
      <c r="G136" s="251"/>
      <c r="H136" s="251"/>
      <c r="I136" s="251"/>
      <c r="J136" s="251"/>
      <c r="K136" s="251"/>
      <c r="L136" s="221">
        <f>122-COUNTBLANK(L12:L133)</f>
        <v>122</v>
      </c>
      <c r="M136" s="221">
        <f>122-COUNTBLANK(M12:M133)</f>
        <v>85</v>
      </c>
      <c r="N136" s="221">
        <f>122-COUNTBLANK(N12:N133)</f>
        <v>122</v>
      </c>
      <c r="O136" s="221">
        <f>122-COUNTBLANK(O12:O133)</f>
        <v>85</v>
      </c>
      <c r="P136" s="221">
        <f>122-COUNTBLANK(P12:P133)</f>
        <v>85</v>
      </c>
      <c r="Q136" s="257"/>
      <c r="R136" s="221">
        <f t="shared" ref="R136:AQ136" si="18">122-COUNTBLANK(R12:R133)</f>
        <v>43</v>
      </c>
      <c r="S136" s="221">
        <f t="shared" si="18"/>
        <v>42</v>
      </c>
      <c r="T136" s="221">
        <f t="shared" si="18"/>
        <v>46</v>
      </c>
      <c r="U136" s="221">
        <f t="shared" si="18"/>
        <v>41</v>
      </c>
      <c r="V136" s="221">
        <f t="shared" si="18"/>
        <v>44</v>
      </c>
      <c r="W136" s="221">
        <f t="shared" si="18"/>
        <v>41</v>
      </c>
      <c r="X136" s="221">
        <f t="shared" si="18"/>
        <v>42</v>
      </c>
      <c r="Y136" s="221">
        <f t="shared" si="18"/>
        <v>35</v>
      </c>
      <c r="Z136" s="221">
        <f t="shared" si="18"/>
        <v>0</v>
      </c>
      <c r="AA136" s="221">
        <f t="shared" si="18"/>
        <v>12</v>
      </c>
      <c r="AB136" s="221">
        <f t="shared" si="18"/>
        <v>17</v>
      </c>
      <c r="AC136" s="251">
        <f t="shared" si="18"/>
        <v>33</v>
      </c>
      <c r="AD136" s="221">
        <f t="shared" si="18"/>
        <v>33</v>
      </c>
      <c r="AE136" s="221">
        <f t="shared" si="18"/>
        <v>6</v>
      </c>
      <c r="AF136" s="221">
        <f t="shared" si="18"/>
        <v>0</v>
      </c>
      <c r="AG136" s="221">
        <f t="shared" si="18"/>
        <v>0</v>
      </c>
      <c r="AH136" s="221">
        <f t="shared" si="18"/>
        <v>8</v>
      </c>
      <c r="AI136" s="251">
        <f t="shared" si="18"/>
        <v>122</v>
      </c>
      <c r="AJ136" s="258">
        <f t="shared" si="18"/>
        <v>118</v>
      </c>
      <c r="AK136" s="221">
        <f t="shared" si="18"/>
        <v>122</v>
      </c>
      <c r="AL136" s="221">
        <f t="shared" si="18"/>
        <v>8</v>
      </c>
      <c r="AM136" s="221">
        <f t="shared" si="18"/>
        <v>1</v>
      </c>
      <c r="AN136" s="221">
        <f t="shared" si="18"/>
        <v>1</v>
      </c>
      <c r="AO136" s="221">
        <f t="shared" si="18"/>
        <v>14</v>
      </c>
      <c r="AP136" s="221">
        <f t="shared" si="18"/>
        <v>80</v>
      </c>
      <c r="AQ136" s="221">
        <f t="shared" si="18"/>
        <v>61</v>
      </c>
      <c r="AR136" s="251">
        <f>122-AR135</f>
        <v>53</v>
      </c>
      <c r="AS136" s="251">
        <f>122-AS135</f>
        <v>39</v>
      </c>
      <c r="AT136" s="259">
        <f t="shared" ref="AT136:AY136" si="19">122-COUNTBLANK(AT12:AT133)</f>
        <v>19</v>
      </c>
      <c r="AU136" s="243">
        <f t="shared" si="19"/>
        <v>77</v>
      </c>
      <c r="AV136" s="243">
        <f t="shared" si="19"/>
        <v>29</v>
      </c>
      <c r="AW136" s="243">
        <f t="shared" si="19"/>
        <v>2</v>
      </c>
      <c r="AX136" s="243">
        <f t="shared" si="19"/>
        <v>0</v>
      </c>
      <c r="AY136" s="243">
        <f t="shared" si="19"/>
        <v>12</v>
      </c>
      <c r="BA136" s="251">
        <f t="shared" ref="BA136:CF136" si="20">122-COUNTBLANK(BA12:BA133)</f>
        <v>54</v>
      </c>
      <c r="BB136" s="221">
        <f t="shared" si="20"/>
        <v>25</v>
      </c>
      <c r="BC136" s="221">
        <f t="shared" si="20"/>
        <v>6</v>
      </c>
      <c r="BD136" s="268">
        <f>122-COUNTBLANK(BD12:BD133)</f>
        <v>66</v>
      </c>
      <c r="BE136" s="138">
        <f t="shared" si="20"/>
        <v>15</v>
      </c>
      <c r="BF136" s="221">
        <f t="shared" si="20"/>
        <v>64</v>
      </c>
      <c r="BG136" s="221">
        <f t="shared" si="20"/>
        <v>8</v>
      </c>
      <c r="BH136" s="221">
        <f t="shared" si="20"/>
        <v>1</v>
      </c>
      <c r="BI136" s="221">
        <f t="shared" si="20"/>
        <v>6</v>
      </c>
      <c r="BJ136" s="221">
        <f t="shared" si="20"/>
        <v>2</v>
      </c>
      <c r="BK136" s="221">
        <f t="shared" si="20"/>
        <v>2</v>
      </c>
      <c r="BL136" s="221">
        <f t="shared" si="20"/>
        <v>1</v>
      </c>
      <c r="BM136" s="221">
        <f t="shared" si="20"/>
        <v>2</v>
      </c>
      <c r="BN136" s="221">
        <f t="shared" si="20"/>
        <v>1</v>
      </c>
      <c r="BO136" s="221">
        <f t="shared" si="20"/>
        <v>1</v>
      </c>
      <c r="BP136" s="221">
        <f t="shared" si="20"/>
        <v>6</v>
      </c>
      <c r="BQ136" s="251">
        <f>122-COUNTBLANK(BQ12:BQ133)</f>
        <v>64</v>
      </c>
      <c r="BR136" s="251">
        <f t="shared" si="20"/>
        <v>40</v>
      </c>
      <c r="BS136" s="221">
        <f t="shared" si="20"/>
        <v>59</v>
      </c>
      <c r="BT136" s="221">
        <f t="shared" si="20"/>
        <v>13</v>
      </c>
      <c r="BU136" s="221">
        <f t="shared" si="20"/>
        <v>6</v>
      </c>
      <c r="BV136" s="221">
        <f t="shared" si="20"/>
        <v>5</v>
      </c>
      <c r="BW136" s="221">
        <f t="shared" si="20"/>
        <v>0</v>
      </c>
      <c r="BX136" s="221">
        <f t="shared" si="20"/>
        <v>5</v>
      </c>
      <c r="BY136" s="221">
        <f t="shared" si="20"/>
        <v>0</v>
      </c>
      <c r="BZ136" s="221">
        <f t="shared" si="20"/>
        <v>2</v>
      </c>
      <c r="CA136" s="221">
        <f t="shared" si="20"/>
        <v>1</v>
      </c>
      <c r="CB136" s="221">
        <f t="shared" si="20"/>
        <v>12</v>
      </c>
      <c r="CC136" s="138">
        <f t="shared" si="20"/>
        <v>25</v>
      </c>
      <c r="CD136" s="221">
        <f t="shared" si="20"/>
        <v>25</v>
      </c>
      <c r="CE136" s="221">
        <f t="shared" si="20"/>
        <v>1</v>
      </c>
      <c r="CF136" s="221">
        <f t="shared" si="20"/>
        <v>1</v>
      </c>
      <c r="CG136" s="221">
        <f t="shared" ref="CG136:DL136" si="21">122-COUNTBLANK(CG12:CG133)</f>
        <v>2</v>
      </c>
      <c r="CH136" s="221">
        <f t="shared" si="21"/>
        <v>0</v>
      </c>
      <c r="CI136" s="221">
        <f t="shared" si="21"/>
        <v>4</v>
      </c>
      <c r="CJ136" s="221">
        <f t="shared" si="21"/>
        <v>14</v>
      </c>
      <c r="CK136" s="221">
        <f t="shared" si="21"/>
        <v>19</v>
      </c>
      <c r="CL136" s="221">
        <f t="shared" si="21"/>
        <v>17</v>
      </c>
      <c r="CM136" s="221">
        <f t="shared" si="21"/>
        <v>3</v>
      </c>
      <c r="CN136" s="221">
        <f t="shared" si="21"/>
        <v>4</v>
      </c>
      <c r="CO136" s="221">
        <f t="shared" si="21"/>
        <v>0</v>
      </c>
      <c r="CP136" s="221">
        <f t="shared" si="21"/>
        <v>10</v>
      </c>
      <c r="CQ136" s="221">
        <f t="shared" si="21"/>
        <v>15</v>
      </c>
      <c r="CR136" s="221">
        <f t="shared" si="21"/>
        <v>13</v>
      </c>
      <c r="CS136" s="221">
        <f t="shared" si="21"/>
        <v>6</v>
      </c>
      <c r="CT136" s="221">
        <f t="shared" si="21"/>
        <v>7</v>
      </c>
      <c r="CU136" s="221">
        <f t="shared" si="21"/>
        <v>10</v>
      </c>
      <c r="CV136" s="221">
        <f t="shared" si="21"/>
        <v>0</v>
      </c>
      <c r="CW136" s="221">
        <f t="shared" si="21"/>
        <v>6</v>
      </c>
      <c r="CX136" s="251">
        <f t="shared" si="21"/>
        <v>8</v>
      </c>
      <c r="CY136" s="221">
        <f t="shared" si="21"/>
        <v>36</v>
      </c>
      <c r="CZ136" s="221">
        <f t="shared" si="21"/>
        <v>35</v>
      </c>
      <c r="DA136" s="138">
        <f t="shared" si="21"/>
        <v>53</v>
      </c>
      <c r="DB136" s="221">
        <f t="shared" si="21"/>
        <v>1</v>
      </c>
      <c r="DC136" s="221">
        <f t="shared" si="21"/>
        <v>22</v>
      </c>
      <c r="DD136" s="138">
        <f t="shared" si="21"/>
        <v>5</v>
      </c>
      <c r="DE136" s="221">
        <f t="shared" si="21"/>
        <v>2</v>
      </c>
      <c r="DF136" s="221">
        <f t="shared" si="21"/>
        <v>5</v>
      </c>
      <c r="DG136" s="221">
        <f t="shared" si="21"/>
        <v>36</v>
      </c>
      <c r="DH136" s="138">
        <f t="shared" si="21"/>
        <v>3</v>
      </c>
      <c r="DI136" s="221">
        <f t="shared" si="21"/>
        <v>0</v>
      </c>
      <c r="DJ136" s="221">
        <f t="shared" si="21"/>
        <v>0</v>
      </c>
      <c r="DK136" s="221">
        <f t="shared" si="21"/>
        <v>0</v>
      </c>
      <c r="DL136" s="221">
        <f t="shared" si="21"/>
        <v>6</v>
      </c>
      <c r="DM136" s="221">
        <f t="shared" ref="DM136:ER136" si="22">122-COUNTBLANK(DM12:DM133)</f>
        <v>1</v>
      </c>
      <c r="DN136" s="221">
        <f t="shared" si="22"/>
        <v>1</v>
      </c>
      <c r="DO136" s="221">
        <f t="shared" si="22"/>
        <v>3</v>
      </c>
      <c r="DP136" s="221">
        <f t="shared" si="22"/>
        <v>1</v>
      </c>
      <c r="DQ136" s="221">
        <f t="shared" si="22"/>
        <v>3</v>
      </c>
      <c r="DR136" s="221">
        <f t="shared" si="22"/>
        <v>14</v>
      </c>
      <c r="DS136" s="138">
        <f t="shared" si="22"/>
        <v>24</v>
      </c>
      <c r="DT136" s="221">
        <f t="shared" si="22"/>
        <v>0</v>
      </c>
      <c r="DU136" s="221">
        <f t="shared" si="22"/>
        <v>2</v>
      </c>
      <c r="DV136" s="221">
        <f t="shared" si="22"/>
        <v>14</v>
      </c>
      <c r="DW136" s="221">
        <f t="shared" si="22"/>
        <v>0</v>
      </c>
      <c r="DX136" s="221">
        <f t="shared" si="22"/>
        <v>0</v>
      </c>
      <c r="DY136" s="221">
        <f t="shared" si="22"/>
        <v>14</v>
      </c>
      <c r="DZ136" s="221">
        <f t="shared" si="22"/>
        <v>19</v>
      </c>
      <c r="EA136" s="221">
        <f t="shared" si="22"/>
        <v>3</v>
      </c>
      <c r="EB136" s="221">
        <f t="shared" si="22"/>
        <v>12</v>
      </c>
      <c r="EC136" s="221">
        <f t="shared" si="22"/>
        <v>16</v>
      </c>
      <c r="ED136" s="221">
        <f t="shared" si="22"/>
        <v>9</v>
      </c>
      <c r="EE136" s="138">
        <f t="shared" si="22"/>
        <v>6</v>
      </c>
      <c r="EF136" s="221">
        <f t="shared" si="22"/>
        <v>2</v>
      </c>
      <c r="EG136" s="221">
        <f t="shared" si="22"/>
        <v>1</v>
      </c>
      <c r="EH136" s="221">
        <f t="shared" si="22"/>
        <v>47</v>
      </c>
      <c r="EI136" s="221">
        <f t="shared" si="22"/>
        <v>18</v>
      </c>
      <c r="EJ136" s="221">
        <f t="shared" si="22"/>
        <v>9</v>
      </c>
      <c r="EK136" s="221">
        <f t="shared" si="22"/>
        <v>8</v>
      </c>
      <c r="EL136" s="251">
        <f t="shared" si="22"/>
        <v>3</v>
      </c>
      <c r="EM136" s="221">
        <f t="shared" si="22"/>
        <v>1</v>
      </c>
      <c r="EN136" s="221">
        <f t="shared" si="22"/>
        <v>0</v>
      </c>
      <c r="EO136" s="221">
        <f t="shared" si="22"/>
        <v>28</v>
      </c>
      <c r="EP136" s="221">
        <f t="shared" si="22"/>
        <v>15</v>
      </c>
      <c r="EQ136" s="221">
        <f t="shared" si="22"/>
        <v>5</v>
      </c>
      <c r="ER136" s="221">
        <f t="shared" si="22"/>
        <v>17</v>
      </c>
      <c r="ES136" s="251">
        <f t="shared" ref="ES136:FX136" si="23">122-COUNTBLANK(ES12:ES133)</f>
        <v>68</v>
      </c>
      <c r="ET136" s="251">
        <f t="shared" si="23"/>
        <v>67</v>
      </c>
      <c r="EU136" s="221">
        <f t="shared" si="23"/>
        <v>16</v>
      </c>
      <c r="EV136" s="138">
        <f t="shared" si="23"/>
        <v>73</v>
      </c>
      <c r="EW136" s="221">
        <f t="shared" si="23"/>
        <v>74</v>
      </c>
      <c r="EX136" s="138">
        <f t="shared" si="23"/>
        <v>16</v>
      </c>
      <c r="EY136" s="221">
        <f t="shared" si="23"/>
        <v>2</v>
      </c>
      <c r="EZ136" s="221">
        <f t="shared" si="23"/>
        <v>1</v>
      </c>
      <c r="FA136" s="221">
        <f t="shared" si="23"/>
        <v>17</v>
      </c>
      <c r="FB136" s="221">
        <f t="shared" si="23"/>
        <v>10</v>
      </c>
      <c r="FC136" s="221">
        <f t="shared" si="23"/>
        <v>19</v>
      </c>
      <c r="FD136" s="221">
        <f t="shared" si="23"/>
        <v>15</v>
      </c>
      <c r="FE136" s="221">
        <f t="shared" si="23"/>
        <v>21</v>
      </c>
      <c r="FF136" s="221">
        <f t="shared" si="23"/>
        <v>9</v>
      </c>
      <c r="FG136" s="221">
        <f t="shared" si="23"/>
        <v>2</v>
      </c>
      <c r="FH136" s="221">
        <f t="shared" si="23"/>
        <v>27</v>
      </c>
      <c r="FI136" s="138">
        <f t="shared" si="23"/>
        <v>51</v>
      </c>
      <c r="FJ136" s="221">
        <f t="shared" si="23"/>
        <v>23</v>
      </c>
      <c r="FK136" s="221">
        <f t="shared" si="23"/>
        <v>21</v>
      </c>
      <c r="FL136" s="138">
        <f t="shared" si="23"/>
        <v>12</v>
      </c>
      <c r="FM136" s="221">
        <f t="shared" si="23"/>
        <v>19</v>
      </c>
      <c r="FN136" s="221">
        <f t="shared" si="23"/>
        <v>19</v>
      </c>
      <c r="FO136" s="221">
        <f t="shared" si="23"/>
        <v>4</v>
      </c>
      <c r="FP136" s="221">
        <f t="shared" si="23"/>
        <v>5</v>
      </c>
      <c r="FQ136" s="221">
        <f t="shared" si="23"/>
        <v>18</v>
      </c>
      <c r="FR136" s="138">
        <f t="shared" si="23"/>
        <v>2</v>
      </c>
      <c r="FS136" s="221">
        <f t="shared" si="23"/>
        <v>4</v>
      </c>
      <c r="FT136" s="221">
        <f t="shared" si="23"/>
        <v>20</v>
      </c>
      <c r="FU136" s="221">
        <f t="shared" si="23"/>
        <v>18</v>
      </c>
      <c r="FV136" s="221">
        <f t="shared" si="23"/>
        <v>30</v>
      </c>
      <c r="FW136" s="221">
        <f t="shared" si="23"/>
        <v>24</v>
      </c>
      <c r="FX136" s="138">
        <f t="shared" si="23"/>
        <v>19</v>
      </c>
      <c r="FY136" s="221">
        <f t="shared" ref="FY136:GD136" si="24">122-COUNTBLANK(FY12:FY133)</f>
        <v>21</v>
      </c>
      <c r="FZ136" s="221">
        <f t="shared" si="24"/>
        <v>22</v>
      </c>
      <c r="GA136" s="221">
        <f t="shared" si="24"/>
        <v>5</v>
      </c>
      <c r="GB136" s="221">
        <f t="shared" si="24"/>
        <v>7</v>
      </c>
      <c r="GC136" s="221">
        <f t="shared" si="24"/>
        <v>23</v>
      </c>
      <c r="GD136" s="138">
        <f t="shared" si="24"/>
        <v>3</v>
      </c>
      <c r="GE136" s="138"/>
      <c r="GI136" s="138"/>
    </row>
    <row r="137" spans="1:195" s="221" customFormat="1">
      <c r="A137" s="222" t="s">
        <v>1317</v>
      </c>
      <c r="B137" s="221">
        <f>COUNTBLANK(B12:B133)</f>
        <v>37</v>
      </c>
      <c r="L137" s="221">
        <f>COUNTBLANK(L12:L133)</f>
        <v>0</v>
      </c>
      <c r="M137" s="221">
        <f>COUNTBLANK(M12:M133)</f>
        <v>37</v>
      </c>
      <c r="N137" s="221">
        <f>COUNTBLANK(N12:N133)</f>
        <v>0</v>
      </c>
      <c r="O137" s="221">
        <f>COUNTBLANK(O12:O133)</f>
        <v>37</v>
      </c>
      <c r="P137" s="221">
        <f>COUNTBLANK(P12:P133)</f>
        <v>37</v>
      </c>
      <c r="Q137" s="257"/>
      <c r="AC137" s="138"/>
      <c r="AI137" s="222" t="s">
        <v>1223</v>
      </c>
      <c r="AJ137" s="260">
        <f>MAX(AJ12:AJ133)</f>
        <v>5065</v>
      </c>
      <c r="AK137" s="260"/>
      <c r="AL137" s="260">
        <f t="shared" ref="AL137:CV137" si="25">MAX(AL12:AL133)</f>
        <v>25116</v>
      </c>
      <c r="AM137" s="260">
        <f t="shared" si="25"/>
        <v>0</v>
      </c>
      <c r="AN137" s="260">
        <f t="shared" si="25"/>
        <v>0</v>
      </c>
      <c r="AO137" s="260">
        <f t="shared" si="25"/>
        <v>29250000</v>
      </c>
      <c r="AP137" s="260">
        <f t="shared" si="25"/>
        <v>95</v>
      </c>
      <c r="AQ137" s="260">
        <f t="shared" si="25"/>
        <v>0</v>
      </c>
      <c r="AR137" s="260">
        <f t="shared" si="25"/>
        <v>37719</v>
      </c>
      <c r="AS137" s="260">
        <f t="shared" si="25"/>
        <v>35107</v>
      </c>
      <c r="AT137" s="260">
        <f t="shared" si="25"/>
        <v>34345</v>
      </c>
      <c r="AU137" s="260">
        <f t="shared" si="25"/>
        <v>18518</v>
      </c>
      <c r="AV137" s="260">
        <f t="shared" si="25"/>
        <v>5293</v>
      </c>
      <c r="AW137" s="260">
        <f t="shared" si="25"/>
        <v>437</v>
      </c>
      <c r="AX137" s="260">
        <f t="shared" si="25"/>
        <v>0</v>
      </c>
      <c r="AY137" s="260">
        <f t="shared" si="25"/>
        <v>875</v>
      </c>
      <c r="AZ137" s="260">
        <f t="shared" si="25"/>
        <v>0</v>
      </c>
      <c r="BA137" s="260">
        <f t="shared" si="25"/>
        <v>0</v>
      </c>
      <c r="BB137" s="260">
        <f t="shared" si="25"/>
        <v>0</v>
      </c>
      <c r="BC137" s="260">
        <f t="shared" si="25"/>
        <v>0</v>
      </c>
      <c r="BD137" s="283">
        <f>MAX(BD12:BD133)</f>
        <v>24667750</v>
      </c>
      <c r="BE137" s="260">
        <f t="shared" si="25"/>
        <v>0</v>
      </c>
      <c r="BF137" s="260">
        <f t="shared" si="25"/>
        <v>0</v>
      </c>
      <c r="BG137" s="260">
        <f t="shared" si="25"/>
        <v>0</v>
      </c>
      <c r="BH137" s="260">
        <f t="shared" si="25"/>
        <v>0</v>
      </c>
      <c r="BI137" s="260">
        <f t="shared" si="25"/>
        <v>12241730</v>
      </c>
      <c r="BJ137" s="260">
        <f>MAX(BJ12:BJ133)</f>
        <v>7538730</v>
      </c>
      <c r="BK137" s="260">
        <f t="shared" si="25"/>
        <v>3722700</v>
      </c>
      <c r="BL137" s="260">
        <f t="shared" si="25"/>
        <v>0</v>
      </c>
      <c r="BM137" s="260">
        <f t="shared" si="25"/>
        <v>14469462</v>
      </c>
      <c r="BN137" s="260">
        <f t="shared" si="25"/>
        <v>0</v>
      </c>
      <c r="BO137" s="260">
        <f t="shared" si="25"/>
        <v>0</v>
      </c>
      <c r="BP137" s="260">
        <f t="shared" si="25"/>
        <v>0</v>
      </c>
      <c r="BQ137" s="260">
        <f t="shared" si="25"/>
        <v>100</v>
      </c>
      <c r="BR137" s="260">
        <f t="shared" si="25"/>
        <v>0</v>
      </c>
      <c r="BS137" s="260">
        <f t="shared" si="25"/>
        <v>0</v>
      </c>
      <c r="BT137" s="260">
        <f t="shared" si="25"/>
        <v>0</v>
      </c>
      <c r="BU137" s="260">
        <f t="shared" si="25"/>
        <v>0</v>
      </c>
      <c r="BV137" s="260">
        <f t="shared" si="25"/>
        <v>0</v>
      </c>
      <c r="BW137" s="260">
        <f t="shared" si="25"/>
        <v>0</v>
      </c>
      <c r="BX137" s="260">
        <f t="shared" si="25"/>
        <v>0</v>
      </c>
      <c r="BY137" s="260">
        <f t="shared" si="25"/>
        <v>0</v>
      </c>
      <c r="BZ137" s="260">
        <f t="shared" si="25"/>
        <v>0</v>
      </c>
      <c r="CA137" s="260">
        <f t="shared" si="25"/>
        <v>0</v>
      </c>
      <c r="CB137" s="260">
        <f t="shared" si="25"/>
        <v>0</v>
      </c>
      <c r="CC137" s="260">
        <f t="shared" si="25"/>
        <v>0</v>
      </c>
      <c r="CD137" s="260">
        <f t="shared" si="25"/>
        <v>0</v>
      </c>
      <c r="CE137" s="260">
        <f t="shared" si="25"/>
        <v>0</v>
      </c>
      <c r="CF137" s="260">
        <f t="shared" si="25"/>
        <v>0</v>
      </c>
      <c r="CG137" s="260">
        <f t="shared" si="25"/>
        <v>0</v>
      </c>
      <c r="CH137" s="260">
        <f t="shared" si="25"/>
        <v>0</v>
      </c>
      <c r="CI137" s="260">
        <f t="shared" si="25"/>
        <v>0</v>
      </c>
      <c r="CJ137" s="260">
        <f t="shared" si="25"/>
        <v>0</v>
      </c>
      <c r="CK137" s="260">
        <f t="shared" si="25"/>
        <v>0</v>
      </c>
      <c r="CL137" s="260">
        <f t="shared" si="25"/>
        <v>0</v>
      </c>
      <c r="CM137" s="260">
        <f t="shared" si="25"/>
        <v>0</v>
      </c>
      <c r="CN137" s="260">
        <f t="shared" si="25"/>
        <v>0</v>
      </c>
      <c r="CO137" s="260">
        <f t="shared" si="25"/>
        <v>0</v>
      </c>
      <c r="CP137" s="260">
        <f t="shared" si="25"/>
        <v>0</v>
      </c>
      <c r="CQ137" s="260">
        <f t="shared" si="25"/>
        <v>0</v>
      </c>
      <c r="CR137" s="260">
        <f t="shared" si="25"/>
        <v>0</v>
      </c>
      <c r="CS137" s="260">
        <f t="shared" si="25"/>
        <v>0</v>
      </c>
      <c r="CT137" s="260">
        <f t="shared" si="25"/>
        <v>0</v>
      </c>
      <c r="CU137" s="260">
        <f t="shared" si="25"/>
        <v>0</v>
      </c>
      <c r="CV137" s="260">
        <f t="shared" si="25"/>
        <v>0</v>
      </c>
      <c r="CW137" s="260">
        <f t="shared" ref="CW137:EQ137" si="26">MAX(CW12:CW133)</f>
        <v>0</v>
      </c>
      <c r="CX137" s="260">
        <f t="shared" si="26"/>
        <v>0</v>
      </c>
      <c r="CY137" s="260">
        <f t="shared" si="26"/>
        <v>0</v>
      </c>
      <c r="CZ137" s="260">
        <f t="shared" si="26"/>
        <v>0</v>
      </c>
      <c r="DA137" s="260">
        <f t="shared" si="26"/>
        <v>0</v>
      </c>
      <c r="DB137" s="260">
        <f t="shared" si="26"/>
        <v>0</v>
      </c>
      <c r="DC137" s="260">
        <f t="shared" si="26"/>
        <v>0</v>
      </c>
      <c r="DD137" s="260">
        <f t="shared" si="26"/>
        <v>100</v>
      </c>
      <c r="DE137" s="260">
        <f t="shared" si="26"/>
        <v>100</v>
      </c>
      <c r="DF137" s="260">
        <f t="shared" si="26"/>
        <v>100</v>
      </c>
      <c r="DG137" s="260">
        <f t="shared" si="26"/>
        <v>100</v>
      </c>
      <c r="DH137" s="260">
        <f t="shared" si="26"/>
        <v>0</v>
      </c>
      <c r="DI137" s="260">
        <f t="shared" si="26"/>
        <v>0</v>
      </c>
      <c r="DJ137" s="260">
        <f t="shared" si="26"/>
        <v>0</v>
      </c>
      <c r="DK137" s="260">
        <f t="shared" si="26"/>
        <v>0</v>
      </c>
      <c r="DL137" s="260">
        <f t="shared" si="26"/>
        <v>0</v>
      </c>
      <c r="DM137" s="260">
        <f t="shared" si="26"/>
        <v>0</v>
      </c>
      <c r="DN137" s="260">
        <f t="shared" si="26"/>
        <v>0</v>
      </c>
      <c r="DO137" s="260">
        <f t="shared" si="26"/>
        <v>0</v>
      </c>
      <c r="DP137" s="260">
        <f t="shared" si="26"/>
        <v>0</v>
      </c>
      <c r="DQ137" s="260">
        <f t="shared" si="26"/>
        <v>0</v>
      </c>
      <c r="DR137" s="260">
        <f t="shared" si="26"/>
        <v>0</v>
      </c>
      <c r="DS137" s="260">
        <f t="shared" si="26"/>
        <v>0</v>
      </c>
      <c r="DT137" s="260">
        <f t="shared" si="26"/>
        <v>0</v>
      </c>
      <c r="DU137" s="260">
        <f t="shared" si="26"/>
        <v>0</v>
      </c>
      <c r="DV137" s="260">
        <f t="shared" si="26"/>
        <v>0</v>
      </c>
      <c r="DW137" s="260">
        <f t="shared" si="26"/>
        <v>0</v>
      </c>
      <c r="DX137" s="260">
        <f t="shared" si="26"/>
        <v>0</v>
      </c>
      <c r="DY137" s="260">
        <f t="shared" si="26"/>
        <v>0</v>
      </c>
      <c r="DZ137" s="260">
        <f t="shared" si="26"/>
        <v>0</v>
      </c>
      <c r="EA137" s="260">
        <f t="shared" si="26"/>
        <v>0</v>
      </c>
      <c r="EB137" s="260">
        <f t="shared" si="26"/>
        <v>0</v>
      </c>
      <c r="EC137" s="260">
        <f t="shared" si="26"/>
        <v>0</v>
      </c>
      <c r="ED137" s="260">
        <f t="shared" si="26"/>
        <v>0</v>
      </c>
      <c r="EE137" s="260">
        <f t="shared" si="26"/>
        <v>100</v>
      </c>
      <c r="EF137" s="260">
        <f t="shared" si="26"/>
        <v>99</v>
      </c>
      <c r="EG137" s="260">
        <f t="shared" si="26"/>
        <v>10</v>
      </c>
      <c r="EH137" s="260">
        <f t="shared" si="26"/>
        <v>100</v>
      </c>
      <c r="EI137" s="260">
        <f t="shared" si="26"/>
        <v>100</v>
      </c>
      <c r="EJ137" s="260">
        <f t="shared" si="26"/>
        <v>100</v>
      </c>
      <c r="EK137" s="260">
        <f t="shared" si="26"/>
        <v>100</v>
      </c>
      <c r="EL137" s="260">
        <f>MAX(EL12:EL133)</f>
        <v>365</v>
      </c>
      <c r="EM137" s="260">
        <f t="shared" si="26"/>
        <v>365</v>
      </c>
      <c r="EN137" s="260">
        <f t="shared" si="26"/>
        <v>0</v>
      </c>
      <c r="EO137" s="260">
        <f t="shared" si="26"/>
        <v>432</v>
      </c>
      <c r="EP137" s="260">
        <f t="shared" si="26"/>
        <v>607.99</v>
      </c>
      <c r="EQ137" s="260">
        <f t="shared" si="26"/>
        <v>568.55999999999995</v>
      </c>
      <c r="ES137" s="138"/>
      <c r="ET137" s="251"/>
      <c r="EV137" s="138"/>
      <c r="EX137" s="138"/>
      <c r="FI137" s="138"/>
      <c r="FL137" s="138"/>
      <c r="FR137" s="138"/>
      <c r="FX137" s="138"/>
      <c r="GD137" s="138"/>
      <c r="GE137" s="138"/>
      <c r="GI137" s="138"/>
    </row>
    <row r="138" spans="1:195" s="221" customFormat="1">
      <c r="A138" s="222" t="s">
        <v>1318</v>
      </c>
      <c r="L138" s="222" t="s">
        <v>1077</v>
      </c>
      <c r="M138" s="261">
        <f>M135/L135</f>
        <v>0.96450100786184445</v>
      </c>
      <c r="P138" s="222" t="s">
        <v>1223</v>
      </c>
      <c r="Q138" s="260">
        <f>MAX(Q12:Q133)</f>
        <v>675</v>
      </c>
      <c r="AC138" s="138"/>
      <c r="AI138" s="222" t="s">
        <v>1224</v>
      </c>
      <c r="AJ138" s="260">
        <f>MIN(AJ11:AJ132)</f>
        <v>0</v>
      </c>
      <c r="AK138" s="260"/>
      <c r="AL138" s="260">
        <f t="shared" ref="AL138:CV138" si="27">MIN(AL11:AL132)</f>
        <v>0</v>
      </c>
      <c r="AM138" s="260">
        <f t="shared" si="27"/>
        <v>0</v>
      </c>
      <c r="AN138" s="260">
        <f t="shared" si="27"/>
        <v>0</v>
      </c>
      <c r="AO138" s="260">
        <f t="shared" si="27"/>
        <v>0</v>
      </c>
      <c r="AP138" s="260">
        <f t="shared" si="27"/>
        <v>1.6</v>
      </c>
      <c r="AQ138" s="260">
        <f t="shared" si="27"/>
        <v>0</v>
      </c>
      <c r="AR138" s="260">
        <f t="shared" si="27"/>
        <v>19</v>
      </c>
      <c r="AS138" s="260">
        <f t="shared" si="27"/>
        <v>2.37</v>
      </c>
      <c r="AT138" s="260">
        <f t="shared" si="27"/>
        <v>18.188141842972367</v>
      </c>
      <c r="AU138" s="260">
        <f t="shared" si="27"/>
        <v>1.5</v>
      </c>
      <c r="AV138" s="260">
        <f t="shared" si="27"/>
        <v>6.8945454545454545</v>
      </c>
      <c r="AW138" s="260">
        <f t="shared" si="27"/>
        <v>275.5779067117025</v>
      </c>
      <c r="AX138" s="260">
        <f t="shared" si="27"/>
        <v>0</v>
      </c>
      <c r="AY138" s="260">
        <f t="shared" si="27"/>
        <v>2.5050000000000003</v>
      </c>
      <c r="AZ138" s="260">
        <f t="shared" si="27"/>
        <v>0</v>
      </c>
      <c r="BA138" s="260">
        <f t="shared" si="27"/>
        <v>0</v>
      </c>
      <c r="BB138" s="260">
        <f t="shared" si="27"/>
        <v>0</v>
      </c>
      <c r="BC138" s="260">
        <f t="shared" si="27"/>
        <v>0</v>
      </c>
      <c r="BD138" s="260">
        <f t="shared" si="27"/>
        <v>0</v>
      </c>
      <c r="BE138" s="260">
        <f t="shared" si="27"/>
        <v>0</v>
      </c>
      <c r="BF138" s="260">
        <f t="shared" si="27"/>
        <v>0</v>
      </c>
      <c r="BG138" s="260">
        <f t="shared" si="27"/>
        <v>0</v>
      </c>
      <c r="BH138" s="260">
        <f t="shared" si="27"/>
        <v>0</v>
      </c>
      <c r="BI138" s="260">
        <f t="shared" si="27"/>
        <v>0</v>
      </c>
      <c r="BJ138" s="260">
        <f t="shared" si="27"/>
        <v>0</v>
      </c>
      <c r="BK138" s="260">
        <f t="shared" si="27"/>
        <v>0</v>
      </c>
      <c r="BL138" s="260">
        <f t="shared" si="27"/>
        <v>0</v>
      </c>
      <c r="BM138" s="260">
        <f t="shared" si="27"/>
        <v>0</v>
      </c>
      <c r="BN138" s="260">
        <f t="shared" si="27"/>
        <v>0</v>
      </c>
      <c r="BO138" s="260">
        <f t="shared" si="27"/>
        <v>0</v>
      </c>
      <c r="BP138" s="260">
        <f t="shared" si="27"/>
        <v>0</v>
      </c>
      <c r="BQ138" s="260">
        <f t="shared" si="27"/>
        <v>0</v>
      </c>
      <c r="BR138" s="260">
        <f t="shared" si="27"/>
        <v>0</v>
      </c>
      <c r="BS138" s="260">
        <f t="shared" si="27"/>
        <v>0</v>
      </c>
      <c r="BT138" s="260">
        <f t="shared" si="27"/>
        <v>0</v>
      </c>
      <c r="BU138" s="260">
        <f t="shared" si="27"/>
        <v>0</v>
      </c>
      <c r="BV138" s="260">
        <f t="shared" si="27"/>
        <v>0</v>
      </c>
      <c r="BW138" s="260">
        <f t="shared" si="27"/>
        <v>0</v>
      </c>
      <c r="BX138" s="260">
        <f t="shared" si="27"/>
        <v>0</v>
      </c>
      <c r="BY138" s="260">
        <f t="shared" si="27"/>
        <v>0</v>
      </c>
      <c r="BZ138" s="260">
        <f t="shared" si="27"/>
        <v>0</v>
      </c>
      <c r="CA138" s="260">
        <f t="shared" si="27"/>
        <v>0</v>
      </c>
      <c r="CB138" s="260">
        <f t="shared" si="27"/>
        <v>0</v>
      </c>
      <c r="CC138" s="260">
        <f t="shared" si="27"/>
        <v>0</v>
      </c>
      <c r="CD138" s="260">
        <f t="shared" si="27"/>
        <v>0</v>
      </c>
      <c r="CE138" s="260">
        <f t="shared" si="27"/>
        <v>0</v>
      </c>
      <c r="CF138" s="260">
        <f t="shared" si="27"/>
        <v>0</v>
      </c>
      <c r="CG138" s="260">
        <f t="shared" si="27"/>
        <v>0</v>
      </c>
      <c r="CH138" s="260">
        <f t="shared" si="27"/>
        <v>0</v>
      </c>
      <c r="CI138" s="260">
        <f t="shared" si="27"/>
        <v>0</v>
      </c>
      <c r="CJ138" s="260">
        <f t="shared" si="27"/>
        <v>0</v>
      </c>
      <c r="CK138" s="260">
        <f t="shared" si="27"/>
        <v>0</v>
      </c>
      <c r="CL138" s="260">
        <f t="shared" si="27"/>
        <v>0</v>
      </c>
      <c r="CM138" s="260">
        <f t="shared" si="27"/>
        <v>0</v>
      </c>
      <c r="CN138" s="260">
        <f t="shared" si="27"/>
        <v>0</v>
      </c>
      <c r="CO138" s="260">
        <f t="shared" si="27"/>
        <v>0</v>
      </c>
      <c r="CP138" s="260">
        <f t="shared" si="27"/>
        <v>0</v>
      </c>
      <c r="CQ138" s="260">
        <f t="shared" si="27"/>
        <v>0</v>
      </c>
      <c r="CR138" s="260">
        <f t="shared" si="27"/>
        <v>0</v>
      </c>
      <c r="CS138" s="260">
        <f t="shared" si="27"/>
        <v>0</v>
      </c>
      <c r="CT138" s="260">
        <f t="shared" si="27"/>
        <v>0</v>
      </c>
      <c r="CU138" s="260">
        <f t="shared" si="27"/>
        <v>0</v>
      </c>
      <c r="CV138" s="260">
        <f t="shared" si="27"/>
        <v>0</v>
      </c>
      <c r="CW138" s="260">
        <f t="shared" ref="CW138:EQ138" si="28">MIN(CW11:CW132)</f>
        <v>0</v>
      </c>
      <c r="CX138" s="260">
        <f t="shared" si="28"/>
        <v>0</v>
      </c>
      <c r="CY138" s="260">
        <f t="shared" si="28"/>
        <v>0</v>
      </c>
      <c r="CZ138" s="260">
        <f t="shared" si="28"/>
        <v>0</v>
      </c>
      <c r="DA138" s="260">
        <f t="shared" si="28"/>
        <v>0</v>
      </c>
      <c r="DB138" s="260">
        <f t="shared" si="28"/>
        <v>0</v>
      </c>
      <c r="DC138" s="260">
        <f t="shared" si="28"/>
        <v>0</v>
      </c>
      <c r="DD138" s="260">
        <f t="shared" si="28"/>
        <v>100</v>
      </c>
      <c r="DE138" s="260">
        <f t="shared" si="28"/>
        <v>25</v>
      </c>
      <c r="DF138" s="260">
        <f t="shared" si="28"/>
        <v>100</v>
      </c>
      <c r="DG138" s="260">
        <f t="shared" si="28"/>
        <v>75</v>
      </c>
      <c r="DH138" s="260">
        <f t="shared" si="28"/>
        <v>0</v>
      </c>
      <c r="DI138" s="260">
        <f t="shared" si="28"/>
        <v>0</v>
      </c>
      <c r="DJ138" s="260">
        <f t="shared" si="28"/>
        <v>0</v>
      </c>
      <c r="DK138" s="260">
        <f t="shared" si="28"/>
        <v>0</v>
      </c>
      <c r="DL138" s="260">
        <f t="shared" si="28"/>
        <v>0</v>
      </c>
      <c r="DM138" s="260">
        <f t="shared" si="28"/>
        <v>0</v>
      </c>
      <c r="DN138" s="260">
        <f t="shared" si="28"/>
        <v>0</v>
      </c>
      <c r="DO138" s="260">
        <f t="shared" si="28"/>
        <v>0</v>
      </c>
      <c r="DP138" s="260">
        <f t="shared" si="28"/>
        <v>0</v>
      </c>
      <c r="DQ138" s="260">
        <f t="shared" si="28"/>
        <v>0</v>
      </c>
      <c r="DR138" s="260">
        <f t="shared" si="28"/>
        <v>0</v>
      </c>
      <c r="DS138" s="260">
        <f t="shared" si="28"/>
        <v>0</v>
      </c>
      <c r="DT138" s="260">
        <f t="shared" si="28"/>
        <v>0</v>
      </c>
      <c r="DU138" s="260">
        <f t="shared" si="28"/>
        <v>0</v>
      </c>
      <c r="DV138" s="260">
        <f t="shared" si="28"/>
        <v>0</v>
      </c>
      <c r="DW138" s="260">
        <f t="shared" si="28"/>
        <v>0</v>
      </c>
      <c r="DX138" s="260">
        <f t="shared" si="28"/>
        <v>0</v>
      </c>
      <c r="DY138" s="260">
        <f t="shared" si="28"/>
        <v>0</v>
      </c>
      <c r="DZ138" s="260">
        <f t="shared" si="28"/>
        <v>0</v>
      </c>
      <c r="EA138" s="260">
        <f t="shared" si="28"/>
        <v>0</v>
      </c>
      <c r="EB138" s="260">
        <f t="shared" si="28"/>
        <v>0</v>
      </c>
      <c r="EC138" s="260">
        <f t="shared" si="28"/>
        <v>0</v>
      </c>
      <c r="ED138" s="260">
        <f t="shared" si="28"/>
        <v>0</v>
      </c>
      <c r="EE138" s="260">
        <f t="shared" si="28"/>
        <v>1</v>
      </c>
      <c r="EF138" s="260">
        <f t="shared" si="28"/>
        <v>60</v>
      </c>
      <c r="EG138" s="260">
        <f t="shared" si="28"/>
        <v>10</v>
      </c>
      <c r="EH138" s="260">
        <f t="shared" si="28"/>
        <v>2.2000000000000002</v>
      </c>
      <c r="EI138" s="260">
        <f t="shared" si="28"/>
        <v>7</v>
      </c>
      <c r="EJ138" s="260">
        <f t="shared" si="28"/>
        <v>5</v>
      </c>
      <c r="EK138" s="260">
        <f t="shared" si="28"/>
        <v>100</v>
      </c>
      <c r="EL138" s="260">
        <f t="shared" si="28"/>
        <v>73.75</v>
      </c>
      <c r="EM138" s="260">
        <f t="shared" si="28"/>
        <v>365</v>
      </c>
      <c r="EN138" s="260">
        <f t="shared" si="28"/>
        <v>0</v>
      </c>
      <c r="EO138" s="260">
        <f t="shared" si="28"/>
        <v>20.6</v>
      </c>
      <c r="EP138" s="260">
        <f t="shared" si="28"/>
        <v>35.299853729887857</v>
      </c>
      <c r="EQ138" s="260">
        <f t="shared" si="28"/>
        <v>83</v>
      </c>
      <c r="ES138" s="138"/>
      <c r="ET138" s="251"/>
      <c r="EU138" s="222" t="s">
        <v>1193</v>
      </c>
      <c r="EV138" s="138">
        <f>COUNTIF(EV12:EV132, 0)</f>
        <v>18</v>
      </c>
      <c r="EW138" s="138">
        <f>COUNTIF(EW12:EW132, 0)</f>
        <v>1</v>
      </c>
      <c r="EX138" s="138"/>
      <c r="FI138" s="138"/>
      <c r="FL138" s="138"/>
      <c r="FR138" s="138"/>
      <c r="FX138" s="138"/>
      <c r="GD138" s="138"/>
      <c r="GE138" s="138"/>
      <c r="GI138" s="138"/>
    </row>
    <row r="139" spans="1:195" s="263" customFormat="1">
      <c r="A139" s="221"/>
      <c r="B139" s="221"/>
      <c r="C139" s="221"/>
      <c r="D139" s="221"/>
      <c r="E139" s="221"/>
      <c r="F139" s="221"/>
      <c r="G139" s="221"/>
      <c r="H139" s="221"/>
      <c r="I139" s="221"/>
      <c r="J139" s="221"/>
      <c r="K139" s="221"/>
      <c r="L139" s="221"/>
      <c r="M139" s="221"/>
      <c r="N139" s="221"/>
      <c r="O139" s="221"/>
      <c r="P139" s="222" t="s">
        <v>1224</v>
      </c>
      <c r="Q139" s="260">
        <f>MIN(Q12:Q133)</f>
        <v>9.6999999999999993</v>
      </c>
      <c r="R139" s="221"/>
      <c r="S139" s="221"/>
      <c r="T139" s="221"/>
      <c r="U139" s="221"/>
      <c r="V139" s="221"/>
      <c r="W139" s="221"/>
      <c r="X139" s="221"/>
      <c r="Y139" s="221"/>
      <c r="Z139" s="221"/>
      <c r="AA139" s="221"/>
      <c r="AB139" s="221"/>
      <c r="AC139" s="221"/>
      <c r="AD139" s="221"/>
      <c r="AE139" s="221"/>
      <c r="AF139" s="221"/>
      <c r="AG139" s="221"/>
      <c r="AH139" s="221"/>
      <c r="AI139" s="221"/>
      <c r="AJ139" s="221"/>
      <c r="AK139" s="221"/>
      <c r="AL139" s="221"/>
      <c r="AM139" s="221"/>
      <c r="AN139" s="221"/>
      <c r="AO139" s="222" t="s">
        <v>986</v>
      </c>
      <c r="AP139" s="221">
        <f>COUNTIF(AP12:AP133,"&lt;10")</f>
        <v>42</v>
      </c>
      <c r="AQ139" s="138"/>
      <c r="AR139" s="221"/>
      <c r="AS139" s="221"/>
      <c r="AT139" s="138"/>
      <c r="AU139" s="221"/>
      <c r="AV139" s="221"/>
      <c r="AW139" s="221"/>
      <c r="AX139" s="222" t="s">
        <v>1123</v>
      </c>
      <c r="AY139" s="221">
        <v>5</v>
      </c>
      <c r="AZ139" s="223">
        <f>AY128+AY110+AY106+AY96+AY63</f>
        <v>50.07566425000001</v>
      </c>
      <c r="BA139" s="262"/>
      <c r="BB139" s="221"/>
      <c r="BC139" s="221"/>
      <c r="BD139" s="221"/>
      <c r="BE139" s="138"/>
      <c r="BF139" s="221"/>
      <c r="BG139" s="221"/>
      <c r="BH139" s="221"/>
      <c r="BI139" s="221"/>
      <c r="BJ139" s="221"/>
      <c r="BK139" s="221"/>
      <c r="BL139" s="221"/>
      <c r="BM139" s="221"/>
      <c r="BN139" s="221"/>
      <c r="BO139" s="221"/>
      <c r="BP139" s="222" t="s">
        <v>1321</v>
      </c>
      <c r="BQ139" s="221">
        <f>COUNTIF(BQ12:BQ133,"&gt;79.999")</f>
        <v>3</v>
      </c>
      <c r="BR139" s="138"/>
      <c r="BS139" s="221"/>
      <c r="BT139" s="221"/>
      <c r="BU139" s="221"/>
      <c r="BV139" s="221"/>
      <c r="BW139" s="221"/>
      <c r="BX139" s="221"/>
      <c r="BY139" s="221"/>
      <c r="BZ139" s="221"/>
      <c r="CA139" s="221"/>
      <c r="CB139" s="221"/>
      <c r="CC139" s="138"/>
      <c r="CD139" s="221"/>
      <c r="CE139" s="221"/>
      <c r="CF139" s="221"/>
      <c r="CG139" s="221"/>
      <c r="CH139" s="221"/>
      <c r="CI139" s="221"/>
      <c r="CJ139" s="221"/>
      <c r="CK139" s="221"/>
      <c r="CL139" s="221"/>
      <c r="CM139" s="221"/>
      <c r="CN139" s="221"/>
      <c r="CO139" s="221"/>
      <c r="CP139" s="221"/>
      <c r="CQ139" s="221"/>
      <c r="CR139" s="221"/>
      <c r="CS139" s="221"/>
      <c r="CT139" s="221"/>
      <c r="CU139" s="221"/>
      <c r="CV139" s="221"/>
      <c r="CW139" s="221"/>
      <c r="CX139" s="138"/>
      <c r="CY139" s="221"/>
      <c r="CZ139" s="221"/>
      <c r="DA139" s="138"/>
      <c r="DB139" s="221"/>
      <c r="DC139" s="222" t="s">
        <v>1179</v>
      </c>
      <c r="DD139" s="138">
        <v>5</v>
      </c>
      <c r="DE139" s="221">
        <v>2</v>
      </c>
      <c r="DF139" s="221">
        <v>6</v>
      </c>
      <c r="DG139" s="221">
        <v>35</v>
      </c>
      <c r="DH139" s="138"/>
      <c r="DI139" s="221"/>
      <c r="DJ139" s="221"/>
      <c r="DK139" s="221"/>
      <c r="DL139" s="221"/>
      <c r="DM139" s="221"/>
      <c r="DN139" s="221"/>
      <c r="DO139" s="221"/>
      <c r="DP139" s="221"/>
      <c r="DQ139" s="221"/>
      <c r="DR139" s="221"/>
      <c r="DS139" s="138"/>
      <c r="DT139" s="221"/>
      <c r="DU139" s="221"/>
      <c r="DV139" s="221"/>
      <c r="DW139" s="221"/>
      <c r="DX139" s="221"/>
      <c r="DY139" s="221"/>
      <c r="DZ139" s="221"/>
      <c r="EA139" s="221"/>
      <c r="EB139" s="221"/>
      <c r="EC139" s="221"/>
      <c r="ED139" s="221"/>
      <c r="EE139" s="138"/>
      <c r="EF139" s="221"/>
      <c r="EG139" s="221"/>
      <c r="EH139" s="221"/>
      <c r="EI139" s="221"/>
      <c r="EJ139" s="221"/>
      <c r="EK139" s="221"/>
      <c r="EL139" s="221"/>
      <c r="EM139" s="221"/>
      <c r="EN139" s="221"/>
      <c r="EO139" s="221"/>
      <c r="EP139" s="221"/>
      <c r="EQ139" s="221"/>
      <c r="ER139" s="221"/>
      <c r="ES139" s="138"/>
      <c r="ET139" s="251"/>
      <c r="EU139" s="222" t="s">
        <v>1340</v>
      </c>
      <c r="EV139" s="138">
        <f>COUNTIF(EV12:EV132,"&lt;0")</f>
        <v>2</v>
      </c>
      <c r="EW139" s="138">
        <f>COUNTIF(EW12:EW132,"&lt;0")</f>
        <v>2</v>
      </c>
      <c r="EX139" s="138"/>
      <c r="EY139" s="221"/>
      <c r="EZ139" s="221"/>
      <c r="FA139" s="221"/>
      <c r="FB139" s="221"/>
      <c r="FC139" s="221"/>
      <c r="FD139" s="221"/>
      <c r="FE139" s="221"/>
      <c r="FF139" s="221"/>
      <c r="FG139" s="221"/>
      <c r="FH139" s="221"/>
      <c r="FI139" s="138"/>
      <c r="FJ139" s="221"/>
      <c r="FK139" s="221"/>
      <c r="FL139" s="138"/>
      <c r="FM139" s="221"/>
      <c r="FN139" s="221"/>
      <c r="FO139" s="221"/>
      <c r="FP139" s="221"/>
      <c r="FQ139" s="221"/>
      <c r="FR139" s="138"/>
      <c r="FS139" s="221"/>
      <c r="FT139" s="221"/>
      <c r="FU139" s="221"/>
      <c r="FV139" s="221"/>
      <c r="FW139" s="221"/>
      <c r="FX139" s="138"/>
      <c r="FY139" s="221"/>
      <c r="FZ139" s="221"/>
      <c r="GA139" s="221"/>
      <c r="GB139" s="221"/>
      <c r="GC139" s="221"/>
      <c r="GD139" s="138"/>
      <c r="GE139" s="138"/>
      <c r="GF139" s="221"/>
      <c r="GG139" s="221"/>
      <c r="GH139" s="221"/>
      <c r="GI139" s="138"/>
      <c r="GJ139" s="221"/>
      <c r="GK139" s="221"/>
      <c r="GL139" s="221"/>
      <c r="GM139" s="221"/>
    </row>
    <row r="140" spans="1:195" s="40" customFormat="1" ht="18.75">
      <c r="A140" s="291" t="s">
        <v>1330</v>
      </c>
      <c r="B140" s="221"/>
      <c r="C140" s="221"/>
      <c r="D140" s="221"/>
      <c r="E140" s="221"/>
      <c r="F140" s="221"/>
      <c r="G140" s="221"/>
      <c r="H140" s="221"/>
      <c r="I140" s="221"/>
      <c r="J140" s="221"/>
      <c r="K140" s="240" t="s">
        <v>1074</v>
      </c>
      <c r="L140" s="221"/>
      <c r="M140" s="221" t="s">
        <v>1211</v>
      </c>
      <c r="N140" s="221" t="s">
        <v>1075</v>
      </c>
      <c r="O140" s="221"/>
      <c r="P140" s="240" t="s">
        <v>1061</v>
      </c>
      <c r="Q140" s="240"/>
      <c r="R140" s="221"/>
      <c r="S140" s="221"/>
      <c r="T140" s="221"/>
      <c r="U140" s="221"/>
      <c r="V140" s="221"/>
      <c r="W140" s="221"/>
      <c r="X140" s="221"/>
      <c r="Y140" s="221"/>
      <c r="Z140" s="221"/>
      <c r="AA140" s="221"/>
      <c r="AB140" s="221"/>
      <c r="AC140" s="221"/>
      <c r="AD140" s="221"/>
      <c r="AE140" s="221"/>
      <c r="AF140" s="240"/>
      <c r="AG140" s="240"/>
      <c r="AH140" s="241" t="s">
        <v>1212</v>
      </c>
      <c r="AI140" s="247">
        <f>AI12+AI14+AI15+AI17+AI20+AI23+AI25+AI26+AI29+AI30+AI32+AI34+AI36+AI38+AI39+AI40+AI42+AI43+AI45+AI49+AI50+AI51+AI52+AI53+AI54+AI55+AI56+AI57+AI58+AI60+AI61+AI62+AI63+AI64+AI67+AI68+AI69+AI70+AI71+AI72+AI73+AI74+AI75+AI77+AI81+AI83+AI84+AI85+AI86+AI87+AI88+AI89+AI90+AI91+AI92+AI93+AI95+AI96+AI97+AI98+AI99+AI100+AI101+AI103+AI106+AI109+AI110+AI111+AI112+AI113+AI114+AI115+AI116+AI117+AI118+AI119+AI122+AI124+AI126+AI127+AI128+AI129+AI132</f>
        <v>167150.13801031659</v>
      </c>
      <c r="AJ140" s="247"/>
      <c r="AK140" s="221"/>
      <c r="AL140" s="221"/>
      <c r="AM140" s="221"/>
      <c r="AN140" s="221"/>
      <c r="AO140" s="222" t="s">
        <v>1089</v>
      </c>
      <c r="AP140" s="264">
        <f>(M129+M128+M127+M126+M124+M118+M116+M114+M110+M106+M101+M97+M96+M95+M94+M93+M92+M89+M80+M77+M74+M73+M72+M69+M66+M65+M63+M62+M60+M56+M55+M49+M44+M35+M30+M28+M21+M20+M17+M15+M12)/41</f>
        <v>1.8098292682926833</v>
      </c>
      <c r="AQ140" s="138" t="s">
        <v>1090</v>
      </c>
      <c r="AR140" s="221"/>
      <c r="AS140" s="221"/>
      <c r="AT140" s="221"/>
      <c r="AU140" s="221"/>
      <c r="AV140" s="221"/>
      <c r="AW140" s="221"/>
      <c r="AX140" s="221"/>
      <c r="AY140" s="221"/>
      <c r="AZ140" s="221"/>
      <c r="BA140" s="138"/>
      <c r="BB140" s="221"/>
      <c r="BC140" s="221"/>
      <c r="BD140" s="221"/>
      <c r="BE140" s="138"/>
      <c r="BF140" s="221"/>
      <c r="BG140" s="221"/>
      <c r="BH140" s="221"/>
      <c r="BI140" s="221"/>
      <c r="BJ140" s="221"/>
      <c r="BK140" s="221"/>
      <c r="BL140" s="221"/>
      <c r="BM140" s="221"/>
      <c r="BN140" s="221"/>
      <c r="BO140" s="221"/>
      <c r="BP140" s="222" t="s">
        <v>1319</v>
      </c>
      <c r="BQ140" s="223">
        <f>COUNTIF(BQ12:BQ133,"&gt;59.999")-BQ139</f>
        <v>18</v>
      </c>
      <c r="BR140" s="221"/>
      <c r="BS140" s="221"/>
      <c r="BT140" s="221"/>
      <c r="BU140" s="221"/>
      <c r="BV140" s="221"/>
      <c r="BW140" s="221"/>
      <c r="BX140" s="221"/>
      <c r="BY140" s="221"/>
      <c r="BZ140" s="221"/>
      <c r="CA140" s="221"/>
      <c r="CB140" s="221"/>
      <c r="CC140" s="138"/>
      <c r="CD140" s="221"/>
      <c r="CE140" s="221"/>
      <c r="CF140" s="221"/>
      <c r="CG140" s="221"/>
      <c r="CH140" s="221"/>
      <c r="CI140" s="221"/>
      <c r="CJ140" s="221"/>
      <c r="CK140" s="221"/>
      <c r="CL140" s="221"/>
      <c r="CM140" s="221"/>
      <c r="CN140" s="221"/>
      <c r="CO140" s="221"/>
      <c r="CP140" s="221"/>
      <c r="CQ140" s="221"/>
      <c r="CR140" s="221"/>
      <c r="CS140" s="221"/>
      <c r="CT140" s="221"/>
      <c r="CU140" s="221"/>
      <c r="CV140" s="221"/>
      <c r="CW140" s="221"/>
      <c r="CX140" s="138"/>
      <c r="CY140" s="221"/>
      <c r="CZ140" s="221"/>
      <c r="DA140" s="138"/>
      <c r="DB140" s="221"/>
      <c r="DC140" s="221"/>
      <c r="DD140" s="138"/>
      <c r="DE140" s="221"/>
      <c r="DF140" s="221"/>
      <c r="DG140" s="221"/>
      <c r="DH140" s="138"/>
      <c r="DI140" s="221"/>
      <c r="DJ140" s="221"/>
      <c r="DK140" s="221"/>
      <c r="DL140" s="221"/>
      <c r="DM140" s="221"/>
      <c r="DN140" s="221"/>
      <c r="DO140" s="221"/>
      <c r="DP140" s="221"/>
      <c r="DQ140" s="221"/>
      <c r="DR140" s="221"/>
      <c r="DS140" s="138"/>
      <c r="DT140" s="221"/>
      <c r="DU140" s="221"/>
      <c r="DV140" s="221"/>
      <c r="DW140" s="221"/>
      <c r="DX140" s="221"/>
      <c r="DY140" s="221"/>
      <c r="DZ140" s="221"/>
      <c r="EA140" s="221"/>
      <c r="EB140" s="221"/>
      <c r="EC140" s="221"/>
      <c r="ED140" s="221"/>
      <c r="EE140" s="138"/>
      <c r="EF140" s="221"/>
      <c r="EG140" s="221"/>
      <c r="EH140" s="221"/>
      <c r="EI140" s="221"/>
      <c r="EJ140" s="221"/>
      <c r="EK140" s="221"/>
      <c r="EL140" s="221"/>
      <c r="EM140" s="221"/>
      <c r="EN140" s="221"/>
      <c r="EO140" s="221"/>
      <c r="EP140" s="221"/>
      <c r="EQ140" s="221"/>
      <c r="ER140" s="221"/>
      <c r="ES140" s="138"/>
      <c r="ET140" s="251"/>
      <c r="EU140" s="222" t="s">
        <v>1341</v>
      </c>
      <c r="EV140" s="138">
        <f>(COUNTIF(EV12:EV132,"&gt;0"))-(COUNTIF(EV12:EV132,"&gt;30.1"))</f>
        <v>45</v>
      </c>
      <c r="EW140" s="138">
        <f>(COUNTIF(EW12:EW132,"&gt;0"))-(COUNTIF(EW12:EW132,"&gt;30.1"))</f>
        <v>36</v>
      </c>
      <c r="EX140" s="138"/>
      <c r="EY140" s="221"/>
      <c r="EZ140" s="221"/>
      <c r="FA140" s="221"/>
      <c r="FB140" s="221"/>
      <c r="FC140" s="221"/>
      <c r="FD140" s="221"/>
      <c r="FE140" s="221"/>
      <c r="FF140" s="221"/>
      <c r="FG140" s="221"/>
      <c r="FH140" s="221"/>
      <c r="FI140" s="138"/>
      <c r="FJ140" s="221"/>
      <c r="FK140" s="221"/>
      <c r="FL140" s="138"/>
      <c r="FM140" s="221"/>
      <c r="FN140" s="221"/>
      <c r="FO140" s="221"/>
      <c r="FP140" s="221"/>
      <c r="FQ140" s="221"/>
      <c r="FR140" s="138"/>
      <c r="FS140" s="221"/>
      <c r="FT140" s="221"/>
      <c r="FU140" s="221"/>
      <c r="FV140" s="221"/>
      <c r="FW140" s="221"/>
      <c r="FX140" s="138"/>
      <c r="FY140" s="221"/>
      <c r="FZ140" s="221"/>
      <c r="GA140" s="221"/>
      <c r="GB140" s="221"/>
      <c r="GC140" s="221"/>
      <c r="GD140" s="138"/>
      <c r="GE140" s="138"/>
      <c r="GF140" s="221"/>
      <c r="GG140" s="221"/>
      <c r="GH140" s="221"/>
      <c r="GI140" s="138"/>
      <c r="GJ140" s="221"/>
      <c r="GK140" s="221"/>
      <c r="GL140" s="221"/>
      <c r="GM140" s="221"/>
    </row>
    <row r="141" spans="1:195" s="40" customFormat="1">
      <c r="A141" s="168" t="s">
        <v>1332</v>
      </c>
      <c r="B141" s="221"/>
      <c r="C141" s="221"/>
      <c r="D141" s="221"/>
      <c r="E141" s="221"/>
      <c r="F141" s="221"/>
      <c r="G141" s="221"/>
      <c r="H141" s="221"/>
      <c r="I141" s="221"/>
      <c r="J141" s="221"/>
      <c r="K141" s="240"/>
      <c r="L141" s="221"/>
      <c r="M141" s="221"/>
      <c r="N141" s="221"/>
      <c r="O141" s="221"/>
      <c r="P141" s="240"/>
      <c r="Q141" s="240"/>
      <c r="R141" s="221"/>
      <c r="S141" s="221"/>
      <c r="T141" s="221"/>
      <c r="U141" s="221"/>
      <c r="V141" s="221"/>
      <c r="W141" s="221"/>
      <c r="X141" s="221"/>
      <c r="Y141" s="221"/>
      <c r="Z141" s="221"/>
      <c r="AA141" s="221"/>
      <c r="AB141" s="221"/>
      <c r="AC141" s="221"/>
      <c r="AD141" s="221"/>
      <c r="AE141" s="221"/>
      <c r="AF141" s="240"/>
      <c r="AG141" s="240"/>
      <c r="AH141" s="241"/>
      <c r="AI141" s="247"/>
      <c r="AJ141" s="247"/>
      <c r="AK141" s="221"/>
      <c r="AL141" s="221"/>
      <c r="AM141" s="221"/>
      <c r="AN141" s="221"/>
      <c r="AO141" s="222"/>
      <c r="AP141" s="264"/>
      <c r="AQ141" s="138"/>
      <c r="AR141" s="221"/>
      <c r="AS141" s="221"/>
      <c r="AT141" s="221"/>
      <c r="AU141" s="221"/>
      <c r="AV141" s="221"/>
      <c r="AW141" s="221"/>
      <c r="AX141" s="221"/>
      <c r="AY141" s="221"/>
      <c r="AZ141" s="221"/>
      <c r="BA141" s="251"/>
      <c r="BB141" s="221"/>
      <c r="BC141" s="221"/>
      <c r="BD141" s="221"/>
      <c r="BE141" s="138"/>
      <c r="BF141" s="221"/>
      <c r="BG141" s="221"/>
      <c r="BH141" s="221"/>
      <c r="BI141" s="221"/>
      <c r="BJ141" s="221"/>
      <c r="BK141" s="221"/>
      <c r="BL141" s="221"/>
      <c r="BM141" s="221"/>
      <c r="BN141" s="221"/>
      <c r="BO141" s="221"/>
      <c r="BP141" s="222" t="s">
        <v>1229</v>
      </c>
      <c r="BQ141" s="223">
        <f>COUNTIF(BQ12:BQ133,"&gt;49.999")-BQ140-BQ139</f>
        <v>15</v>
      </c>
      <c r="BR141" s="221"/>
      <c r="BS141" s="221"/>
      <c r="BT141" s="221"/>
      <c r="BU141" s="221"/>
      <c r="BV141" s="221"/>
      <c r="BW141" s="221"/>
      <c r="BX141" s="221"/>
      <c r="BY141" s="221"/>
      <c r="BZ141" s="221"/>
      <c r="CA141" s="221"/>
      <c r="CB141" s="221"/>
      <c r="CC141" s="251"/>
      <c r="CD141" s="221"/>
      <c r="CE141" s="221"/>
      <c r="CF141" s="221"/>
      <c r="CG141" s="221"/>
      <c r="CH141" s="221"/>
      <c r="CI141" s="221"/>
      <c r="CJ141" s="221"/>
      <c r="CK141" s="221"/>
      <c r="CL141" s="221"/>
      <c r="CM141" s="221"/>
      <c r="CN141" s="221"/>
      <c r="CO141" s="221"/>
      <c r="CP141" s="221"/>
      <c r="CQ141" s="221"/>
      <c r="CR141" s="221"/>
      <c r="CS141" s="221"/>
      <c r="CT141" s="221"/>
      <c r="CU141" s="221"/>
      <c r="CV141" s="221"/>
      <c r="CW141" s="221"/>
      <c r="CX141" s="251"/>
      <c r="CY141" s="221"/>
      <c r="CZ141" s="221"/>
      <c r="DA141" s="251"/>
      <c r="DB141" s="221"/>
      <c r="DC141" s="221"/>
      <c r="DD141" s="251"/>
      <c r="DE141" s="221"/>
      <c r="DF141" s="221"/>
      <c r="DG141" s="221"/>
      <c r="DH141" s="251"/>
      <c r="DI141" s="221"/>
      <c r="DJ141" s="221"/>
      <c r="DK141" s="221"/>
      <c r="DL141" s="221"/>
      <c r="DM141" s="221"/>
      <c r="DN141" s="221"/>
      <c r="DO141" s="221"/>
      <c r="DP141" s="221"/>
      <c r="DQ141" s="221"/>
      <c r="DR141" s="221"/>
      <c r="DS141" s="251"/>
      <c r="DT141" s="221"/>
      <c r="DU141" s="221"/>
      <c r="DV141" s="221"/>
      <c r="DW141" s="221"/>
      <c r="DX141" s="221"/>
      <c r="DY141" s="221"/>
      <c r="DZ141" s="221"/>
      <c r="EA141" s="221"/>
      <c r="EB141" s="221"/>
      <c r="EC141" s="221"/>
      <c r="ED141" s="221"/>
      <c r="EE141" s="251"/>
      <c r="EF141" s="221"/>
      <c r="EG141" s="221"/>
      <c r="EH141" s="221"/>
      <c r="EI141" s="221"/>
      <c r="EJ141" s="221"/>
      <c r="EK141" s="221"/>
      <c r="EL141" s="221"/>
      <c r="EM141" s="221"/>
      <c r="EN141" s="221"/>
      <c r="EO141" s="221"/>
      <c r="EP141" s="221"/>
      <c r="EQ141" s="221"/>
      <c r="ER141" s="221"/>
      <c r="ES141" s="251"/>
      <c r="ET141" s="251"/>
      <c r="EU141" s="222"/>
      <c r="EV141" s="138"/>
      <c r="EW141" s="138"/>
      <c r="EX141" s="251"/>
      <c r="EY141" s="221"/>
      <c r="EZ141" s="221"/>
      <c r="FA141" s="221"/>
      <c r="FB141" s="221"/>
      <c r="FC141" s="221"/>
      <c r="FD141" s="221"/>
      <c r="FE141" s="221"/>
      <c r="FF141" s="221"/>
      <c r="FG141" s="221"/>
      <c r="FH141" s="221"/>
      <c r="FI141" s="251"/>
      <c r="FJ141" s="221"/>
      <c r="FK141" s="221"/>
      <c r="FL141" s="251"/>
      <c r="FM141" s="221"/>
      <c r="FN141" s="221"/>
      <c r="FO141" s="221"/>
      <c r="FP141" s="221"/>
      <c r="FQ141" s="221"/>
      <c r="FR141" s="251"/>
      <c r="FS141" s="221"/>
      <c r="FT141" s="221"/>
      <c r="FU141" s="221"/>
      <c r="FV141" s="221"/>
      <c r="FW141" s="221"/>
      <c r="FX141" s="251"/>
      <c r="FY141" s="221"/>
      <c r="FZ141" s="221"/>
      <c r="GA141" s="221"/>
      <c r="GB141" s="221"/>
      <c r="GC141" s="221"/>
      <c r="GD141" s="251"/>
      <c r="GE141" s="251"/>
      <c r="GF141" s="221"/>
      <c r="GG141" s="221"/>
      <c r="GH141" s="221"/>
      <c r="GI141" s="251"/>
      <c r="GJ141" s="221"/>
      <c r="GK141" s="221"/>
      <c r="GL141" s="221"/>
      <c r="GM141" s="221"/>
    </row>
    <row r="142" spans="1:195" s="40" customFormat="1">
      <c r="A142" s="196" t="s">
        <v>1290</v>
      </c>
      <c r="B142" s="221"/>
      <c r="C142" s="221"/>
      <c r="D142" s="221"/>
      <c r="E142" s="221"/>
      <c r="F142" s="221"/>
      <c r="G142" s="221"/>
      <c r="H142" s="221"/>
      <c r="I142" s="221"/>
      <c r="J142" s="265"/>
      <c r="K142" s="221"/>
      <c r="L142" s="266" t="s">
        <v>1052</v>
      </c>
      <c r="M142" s="267">
        <f>COUNTIF(O12:O133,"&lt;0.5")</f>
        <v>12</v>
      </c>
      <c r="N142" s="267">
        <f>COUNTIF(N12:N133,"&lt;0.5")</f>
        <v>29</v>
      </c>
      <c r="O142" s="251"/>
      <c r="P142" s="243">
        <f>P135</f>
        <v>6623992.666666667</v>
      </c>
      <c r="Q142" s="221" t="s">
        <v>1062</v>
      </c>
      <c r="R142" s="221"/>
      <c r="S142" s="221"/>
      <c r="T142" s="221"/>
      <c r="U142" s="221"/>
      <c r="V142" s="221"/>
      <c r="W142" s="221"/>
      <c r="X142" s="221"/>
      <c r="Y142" s="221"/>
      <c r="Z142" s="221"/>
      <c r="AA142" s="221"/>
      <c r="AB142" s="221"/>
      <c r="AC142" s="221"/>
      <c r="AD142" s="221"/>
      <c r="AE142" s="221"/>
      <c r="AF142" s="221"/>
      <c r="AG142" s="221"/>
      <c r="AH142" s="241" t="s">
        <v>1059</v>
      </c>
      <c r="AI142" s="268">
        <f>AI135</f>
        <v>180775.41316234416</v>
      </c>
      <c r="AJ142" s="268"/>
      <c r="AK142" s="221"/>
      <c r="AL142" s="221"/>
      <c r="AM142" s="221"/>
      <c r="AN142" s="221"/>
      <c r="AO142" s="222" t="s">
        <v>1091</v>
      </c>
      <c r="AP142" s="264">
        <f>(M14+M23+M24+M26+M32+M33+M38+M40+M41+M42+M47+M52+M53+M57+M58+M59+M64+M70+M71+M75+M76+M86+M88+M90+M91+M98+M99+M100+M103+M109+M111+M112+M113+M115+M119+M122+M132)/37</f>
        <v>6.2581540540540548</v>
      </c>
      <c r="AQ142" s="138" t="s">
        <v>1092</v>
      </c>
      <c r="AR142" s="221"/>
      <c r="AS142" s="221"/>
      <c r="AT142" s="221"/>
      <c r="AU142" s="221"/>
      <c r="AV142" s="221"/>
      <c r="AW142" s="221"/>
      <c r="AX142" s="221"/>
      <c r="AY142" s="221"/>
      <c r="AZ142" s="221"/>
      <c r="BA142" s="221"/>
      <c r="BB142" s="221"/>
      <c r="BC142" s="221"/>
      <c r="BD142" s="221"/>
      <c r="BE142" s="138"/>
      <c r="BF142" s="221"/>
      <c r="BG142" s="221"/>
      <c r="BH142" s="221"/>
      <c r="BI142" s="221"/>
      <c r="BJ142" s="221"/>
      <c r="BK142" s="221"/>
      <c r="BL142" s="221"/>
      <c r="BM142" s="221"/>
      <c r="BN142" s="221"/>
      <c r="BO142" s="221"/>
      <c r="BP142" s="222" t="s">
        <v>1231</v>
      </c>
      <c r="BQ142" s="287">
        <f>COUNTIF(BQ12:BQ133,"&gt;39.999")-BQ141-BQ140-BQ139</f>
        <v>9</v>
      </c>
      <c r="BR142" s="221"/>
      <c r="BS142" s="221"/>
      <c r="BT142" s="221"/>
      <c r="BU142" s="221"/>
      <c r="BV142" s="221"/>
      <c r="BW142" s="221"/>
      <c r="BX142" s="221"/>
      <c r="BY142" s="221"/>
      <c r="BZ142" s="221"/>
      <c r="CA142" s="221"/>
      <c r="CB142" s="221"/>
      <c r="CC142" s="221"/>
      <c r="CD142" s="221"/>
      <c r="CE142" s="221"/>
      <c r="CF142" s="221"/>
      <c r="CG142" s="221"/>
      <c r="CH142" s="221"/>
      <c r="CI142" s="221"/>
      <c r="CJ142" s="221"/>
      <c r="CK142" s="221"/>
      <c r="CL142" s="221"/>
      <c r="CM142" s="221"/>
      <c r="CN142" s="221"/>
      <c r="CO142" s="221"/>
      <c r="CP142" s="221"/>
      <c r="CQ142" s="221"/>
      <c r="CR142" s="221"/>
      <c r="CS142" s="221"/>
      <c r="CT142" s="221"/>
      <c r="CU142" s="221"/>
      <c r="CV142" s="221"/>
      <c r="CW142" s="221"/>
      <c r="CX142" s="221"/>
      <c r="CY142" s="221"/>
      <c r="CZ142" s="221"/>
      <c r="DA142" s="221"/>
      <c r="DB142" s="221"/>
      <c r="DC142" s="221"/>
      <c r="DD142" s="221"/>
      <c r="DE142" s="221"/>
      <c r="DF142" s="221"/>
      <c r="DG142" s="221"/>
      <c r="DH142" s="221"/>
      <c r="DI142" s="221"/>
      <c r="DJ142" s="221"/>
      <c r="DK142" s="221"/>
      <c r="DL142" s="221"/>
      <c r="DM142" s="221"/>
      <c r="DN142" s="221"/>
      <c r="DO142" s="221"/>
      <c r="DP142" s="221"/>
      <c r="DQ142" s="221"/>
      <c r="DR142" s="221"/>
      <c r="DS142" s="221"/>
      <c r="DT142" s="221"/>
      <c r="DU142" s="221"/>
      <c r="DV142" s="221"/>
      <c r="DW142" s="221"/>
      <c r="DX142" s="221"/>
      <c r="DY142" s="221"/>
      <c r="DZ142" s="221"/>
      <c r="EA142" s="221"/>
      <c r="EB142" s="221"/>
      <c r="EC142" s="221"/>
      <c r="ED142" s="221"/>
      <c r="EE142" s="221"/>
      <c r="EF142" s="221"/>
      <c r="EG142" s="221"/>
      <c r="EH142" s="221"/>
      <c r="EI142" s="221"/>
      <c r="EJ142" s="221"/>
      <c r="EK142" s="221"/>
      <c r="EL142" s="221"/>
      <c r="EM142" s="221"/>
      <c r="EN142" s="221"/>
      <c r="EO142" s="221"/>
      <c r="EP142" s="221"/>
      <c r="EQ142" s="221"/>
      <c r="ER142" s="221"/>
      <c r="ES142" s="221"/>
      <c r="ET142" s="221"/>
      <c r="EU142" s="222" t="s">
        <v>1343</v>
      </c>
      <c r="EV142" s="138">
        <f>(COUNTIF(EV12:EV132,"&gt;30"))-(COUNTIF(EV12:EV132,"&gt;99.1"))</f>
        <v>7</v>
      </c>
      <c r="EW142" s="138">
        <f>(COUNTIF(EW12:EW132,"&gt;30"))-(COUNTIF(EW12:EW132,"&gt;99.1"))</f>
        <v>30</v>
      </c>
      <c r="EX142" s="221"/>
      <c r="EY142" s="221"/>
      <c r="EZ142" s="221"/>
      <c r="FA142" s="221"/>
      <c r="FB142" s="221"/>
      <c r="FC142" s="221"/>
      <c r="FD142" s="221"/>
      <c r="FE142" s="221"/>
      <c r="FF142" s="221"/>
      <c r="FG142" s="221"/>
      <c r="FH142" s="221"/>
      <c r="FI142" s="221"/>
      <c r="FJ142" s="221"/>
      <c r="FK142" s="221"/>
      <c r="FL142" s="221"/>
      <c r="FM142" s="221"/>
      <c r="FN142" s="221"/>
      <c r="FO142" s="221"/>
      <c r="FP142" s="221"/>
      <c r="FQ142" s="221"/>
      <c r="FR142" s="221"/>
      <c r="FS142" s="221"/>
      <c r="FT142" s="221"/>
      <c r="FU142" s="221"/>
      <c r="FV142" s="221"/>
      <c r="FW142" s="221"/>
      <c r="FX142" s="221"/>
      <c r="FY142" s="221"/>
      <c r="FZ142" s="221"/>
      <c r="GA142" s="221"/>
      <c r="GB142" s="221"/>
      <c r="GC142" s="221"/>
      <c r="GD142" s="221"/>
      <c r="GE142" s="221"/>
      <c r="GF142" s="221"/>
      <c r="GG142" s="221"/>
      <c r="GH142" s="221"/>
      <c r="GI142" s="221"/>
      <c r="GJ142" s="221"/>
      <c r="GK142" s="221"/>
      <c r="GL142" s="221"/>
      <c r="GM142" s="221"/>
    </row>
    <row r="143" spans="1:195" s="40" customFormat="1">
      <c r="A143" s="163" t="s">
        <v>1291</v>
      </c>
      <c r="B143" s="221"/>
      <c r="C143" s="221"/>
      <c r="D143" s="221"/>
      <c r="E143" s="221"/>
      <c r="F143" s="221"/>
      <c r="G143" s="221"/>
      <c r="H143" s="221"/>
      <c r="I143" s="221"/>
      <c r="J143" s="221"/>
      <c r="K143" s="221"/>
      <c r="L143" s="226" t="s">
        <v>1053</v>
      </c>
      <c r="M143" s="257">
        <f>COUNTIFS(O12:O133,"&lt;1", O12:O133,"&gt;0.5")+COUNTIF(O12:O133, 0.5)</f>
        <v>10</v>
      </c>
      <c r="N143" s="257">
        <f>COUNTIFS(N12:N133,"&lt;1", N12:N133,"&gt;0.5")+COUNTIF(N12:N133, 0.5)</f>
        <v>14</v>
      </c>
      <c r="O143" s="251"/>
      <c r="P143" s="269">
        <v>6902000</v>
      </c>
      <c r="Q143" s="221" t="s">
        <v>979</v>
      </c>
      <c r="R143" s="221"/>
      <c r="S143" s="221"/>
      <c r="T143" s="221"/>
      <c r="U143" s="221"/>
      <c r="V143" s="221"/>
      <c r="W143" s="221"/>
      <c r="X143" s="221"/>
      <c r="Y143" s="221"/>
      <c r="Z143" s="221"/>
      <c r="AA143" s="221"/>
      <c r="AB143" s="221"/>
      <c r="AC143" s="221"/>
      <c r="AD143" s="221"/>
      <c r="AE143" s="221"/>
      <c r="AF143" s="221"/>
      <c r="AG143" s="221"/>
      <c r="AH143" s="241" t="s">
        <v>1314</v>
      </c>
      <c r="AI143" s="284">
        <f>AI142+12*2</f>
        <v>180799.41316234416</v>
      </c>
      <c r="AJ143" s="268"/>
      <c r="AK143" s="221"/>
      <c r="AL143" s="221"/>
      <c r="AM143" s="221"/>
      <c r="AN143" s="221"/>
      <c r="AO143" s="222" t="s">
        <v>988</v>
      </c>
      <c r="AP143" s="243">
        <f>AI129+AI128+AI127+AI126+AI124+AI118+AI116+AI114+AI110+AI106+AI101+AI95+AI94+AI93+AI92+AI89+AI80+AI77+AI73+AI72+AI69+AI66+AI65+AI63+AI62+AI60+AI56+AI55+AI49+AI45+AI35+AI30+AI28+AI20+AI17+AI15+AI12</f>
        <v>26576.0326699369</v>
      </c>
      <c r="AQ143" s="224"/>
      <c r="AR143" s="270"/>
      <c r="AS143" s="270"/>
      <c r="AT143" s="221"/>
      <c r="AU143" s="221"/>
      <c r="AV143" s="221"/>
      <c r="AW143" s="221"/>
      <c r="AX143" s="221"/>
      <c r="AY143" s="221"/>
      <c r="AZ143" s="221"/>
      <c r="BA143" s="221"/>
      <c r="BB143" s="221"/>
      <c r="BC143" s="221"/>
      <c r="BD143" s="221"/>
      <c r="BE143" s="221"/>
      <c r="BF143" s="221"/>
      <c r="BG143" s="221"/>
      <c r="BH143" s="221"/>
      <c r="BI143" s="221"/>
      <c r="BJ143" s="221"/>
      <c r="BK143" s="221"/>
      <c r="BL143" s="221"/>
      <c r="BM143" s="221"/>
      <c r="BN143" s="221"/>
      <c r="BO143" s="221"/>
      <c r="BP143" s="222" t="s">
        <v>1228</v>
      </c>
      <c r="BQ143" s="223">
        <f>COUNTIF(BQ12:BQ133,"&gt;19.999")-BQ142-BQ141-BQ140-BQ139</f>
        <v>2</v>
      </c>
      <c r="BR143" s="221"/>
      <c r="BS143" s="221"/>
      <c r="BT143" s="221"/>
      <c r="BU143" s="221"/>
      <c r="BV143" s="221"/>
      <c r="BW143" s="221"/>
      <c r="BX143" s="221"/>
      <c r="BY143" s="221"/>
      <c r="BZ143" s="221"/>
      <c r="CA143" s="221"/>
      <c r="CB143" s="221"/>
      <c r="CC143" s="221"/>
      <c r="CD143" s="221"/>
      <c r="CE143" s="221"/>
      <c r="CF143" s="221"/>
      <c r="CG143" s="221"/>
      <c r="CH143" s="221"/>
      <c r="CI143" s="221"/>
      <c r="CJ143" s="221"/>
      <c r="CK143" s="221"/>
      <c r="CL143" s="221"/>
      <c r="CM143" s="221"/>
      <c r="CN143" s="221"/>
      <c r="CO143" s="221"/>
      <c r="CP143" s="221"/>
      <c r="CQ143" s="221"/>
      <c r="CR143" s="221"/>
      <c r="CS143" s="221"/>
      <c r="CT143" s="221"/>
      <c r="CU143" s="221"/>
      <c r="CV143" s="221"/>
      <c r="CW143" s="221"/>
      <c r="CX143" s="221"/>
      <c r="CY143" s="221"/>
      <c r="CZ143" s="221"/>
      <c r="DA143" s="221"/>
      <c r="DB143" s="221"/>
      <c r="DC143" s="221"/>
      <c r="DD143" s="221"/>
      <c r="DE143" s="221"/>
      <c r="DF143" s="221"/>
      <c r="DG143" s="221"/>
      <c r="DH143" s="221"/>
      <c r="DI143" s="221"/>
      <c r="DJ143" s="221"/>
      <c r="DK143" s="221"/>
      <c r="DL143" s="221"/>
      <c r="DM143" s="221"/>
      <c r="DN143" s="221"/>
      <c r="DO143" s="221"/>
      <c r="DP143" s="221"/>
      <c r="DQ143" s="221"/>
      <c r="DR143" s="221"/>
      <c r="DS143" s="221"/>
      <c r="DT143" s="221"/>
      <c r="DU143" s="221"/>
      <c r="DV143" s="221"/>
      <c r="DW143" s="221"/>
      <c r="DX143" s="221"/>
      <c r="DY143" s="221"/>
      <c r="DZ143" s="221"/>
      <c r="EA143" s="221"/>
      <c r="EB143" s="221"/>
      <c r="EC143" s="221"/>
      <c r="ED143" s="221"/>
      <c r="EE143" s="221"/>
      <c r="EF143" s="221"/>
      <c r="EG143" s="221"/>
      <c r="EH143" s="221"/>
      <c r="EI143" s="221"/>
      <c r="EJ143" s="221"/>
      <c r="EK143" s="221"/>
      <c r="EL143" s="221"/>
      <c r="EM143" s="221"/>
      <c r="EN143" s="221"/>
      <c r="EO143" s="221"/>
      <c r="EP143" s="221"/>
      <c r="EQ143" s="221"/>
      <c r="ER143" s="221"/>
      <c r="ES143" s="221"/>
      <c r="ET143" s="221"/>
      <c r="EU143" s="222" t="s">
        <v>1342</v>
      </c>
      <c r="EV143" s="138">
        <f>(COUNTIF(EV12:EV132,"&gt;99.9999"))</f>
        <v>1</v>
      </c>
      <c r="EW143" s="138">
        <f>(COUNTIF(EW12:EW132,"&gt;99.9999"))</f>
        <v>5</v>
      </c>
      <c r="EX143" s="221"/>
      <c r="EY143" s="221"/>
      <c r="EZ143" s="221"/>
      <c r="FA143" s="221"/>
      <c r="FB143" s="221"/>
      <c r="FC143" s="221"/>
      <c r="FD143" s="221"/>
      <c r="FE143" s="221"/>
      <c r="FF143" s="221"/>
      <c r="FG143" s="221"/>
      <c r="FH143" s="221"/>
      <c r="FI143" s="221"/>
      <c r="FJ143" s="221"/>
      <c r="FK143" s="221"/>
      <c r="FL143" s="221"/>
      <c r="FM143" s="221"/>
      <c r="FN143" s="221"/>
      <c r="FO143" s="221"/>
      <c r="FP143" s="221"/>
      <c r="FQ143" s="221"/>
      <c r="FR143" s="221"/>
      <c r="FS143" s="221"/>
      <c r="FT143" s="221"/>
      <c r="FU143" s="221"/>
      <c r="FV143" s="221"/>
      <c r="FW143" s="221"/>
      <c r="FX143" s="221"/>
      <c r="FY143" s="221"/>
      <c r="FZ143" s="221"/>
      <c r="GA143" s="221"/>
      <c r="GB143" s="221"/>
      <c r="GC143" s="221"/>
      <c r="GD143" s="221"/>
      <c r="GE143" s="221"/>
      <c r="GF143" s="221"/>
      <c r="GG143" s="221"/>
      <c r="GH143" s="221"/>
      <c r="GI143" s="221"/>
      <c r="GJ143" s="221"/>
      <c r="GK143" s="221"/>
      <c r="GL143" s="221"/>
      <c r="GM143" s="221"/>
    </row>
    <row r="144" spans="1:195" s="40" customFormat="1">
      <c r="A144" s="164" t="s">
        <v>1292</v>
      </c>
      <c r="B144" s="221"/>
      <c r="C144" s="221"/>
      <c r="D144" s="221"/>
      <c r="E144" s="221"/>
      <c r="F144" s="221"/>
      <c r="G144" s="221"/>
      <c r="H144" s="221"/>
      <c r="I144" s="221"/>
      <c r="J144" s="221"/>
      <c r="K144" s="221"/>
      <c r="L144" s="226" t="s">
        <v>1054</v>
      </c>
      <c r="M144" s="257">
        <f>COUNTIFS(O12:O133,"&lt;5", O12:O133, "&gt;1")+COUNTIF(O12:O133, 1)</f>
        <v>35</v>
      </c>
      <c r="N144" s="257">
        <f>COUNTIFS(N12:N133,"&lt;5", N12:N133, "&gt;1")+COUNTIF(N12:N133, 1)</f>
        <v>51</v>
      </c>
      <c r="O144" s="251"/>
      <c r="P144" s="281">
        <f>P143*(1-P152)</f>
        <v>5008305.7480148096</v>
      </c>
      <c r="Q144" s="221" t="s">
        <v>1063</v>
      </c>
      <c r="R144" s="221"/>
      <c r="S144" s="221"/>
      <c r="T144" s="221"/>
      <c r="U144" s="221"/>
      <c r="V144" s="221"/>
      <c r="W144" s="221"/>
      <c r="X144" s="221"/>
      <c r="Y144" s="221"/>
      <c r="Z144" s="221"/>
      <c r="AA144" s="221"/>
      <c r="AB144" s="221"/>
      <c r="AC144" s="221"/>
      <c r="AD144" s="221"/>
      <c r="AE144" s="221"/>
      <c r="AF144" s="221"/>
      <c r="AG144" s="221"/>
      <c r="AH144" s="221"/>
      <c r="AI144" s="222" t="s">
        <v>1315</v>
      </c>
      <c r="AJ144" s="222"/>
      <c r="AK144" s="221"/>
      <c r="AL144" s="221"/>
      <c r="AM144" s="221"/>
      <c r="AN144" s="221"/>
      <c r="AO144" s="222" t="s">
        <v>987</v>
      </c>
      <c r="AP144" s="268">
        <f>AI135-AP143</f>
        <v>154199.38049240728</v>
      </c>
      <c r="AQ144" s="225"/>
      <c r="AR144" s="271"/>
      <c r="AS144" s="272" t="s">
        <v>1233</v>
      </c>
      <c r="AT144" s="243">
        <f>AT113+AT104+AT85+AT87+AT78+AT73+AT62+AT57+AT47+AT35+AT25+AT14+AT109</f>
        <v>5015.8884021799158</v>
      </c>
      <c r="AU144" s="261"/>
      <c r="AV144" s="221"/>
      <c r="AW144" s="268"/>
      <c r="AX144" s="221"/>
      <c r="AY144" s="268">
        <f>AT135+AU135+AV135+AW135+AY135</f>
        <v>180441.63721802487</v>
      </c>
      <c r="AZ144" s="221"/>
      <c r="BA144" s="221"/>
      <c r="BB144" s="221"/>
      <c r="BC144" s="221"/>
      <c r="BD144" s="221"/>
      <c r="BE144" s="221"/>
      <c r="BF144" s="221"/>
      <c r="BG144" s="221"/>
      <c r="BH144" s="221"/>
      <c r="BI144" s="221"/>
      <c r="BJ144" s="221"/>
      <c r="BK144" s="221"/>
      <c r="BL144" s="221"/>
      <c r="BM144" s="221"/>
      <c r="BN144" s="221"/>
      <c r="BO144" s="221"/>
      <c r="BP144" s="222" t="s">
        <v>1230</v>
      </c>
      <c r="BQ144" s="223">
        <f>COUNTIF(BQ12:BQ133,"&lt;20")-BQ145</f>
        <v>3</v>
      </c>
      <c r="BR144" s="221"/>
      <c r="BS144" s="221"/>
      <c r="BT144" s="221"/>
      <c r="BU144" s="221"/>
      <c r="BV144" s="221"/>
      <c r="BW144" s="221"/>
      <c r="BX144" s="221"/>
      <c r="BY144" s="221"/>
      <c r="BZ144" s="221"/>
      <c r="CA144" s="221"/>
      <c r="CB144" s="221"/>
      <c r="CC144" s="221"/>
      <c r="CD144" s="221"/>
      <c r="CE144" s="221"/>
      <c r="CF144" s="221"/>
      <c r="CG144" s="221"/>
      <c r="CH144" s="221"/>
      <c r="CI144" s="221"/>
      <c r="CJ144" s="221"/>
      <c r="CK144" s="221"/>
      <c r="CL144" s="221"/>
      <c r="CM144" s="221"/>
      <c r="CN144" s="221"/>
      <c r="CO144" s="221"/>
      <c r="CP144" s="221"/>
      <c r="CQ144" s="221"/>
      <c r="CR144" s="221"/>
      <c r="CS144" s="221"/>
      <c r="CT144" s="221"/>
      <c r="CU144" s="221"/>
      <c r="CV144" s="221"/>
      <c r="CW144" s="221"/>
      <c r="CX144" s="221"/>
      <c r="CY144" s="221"/>
      <c r="CZ144" s="221"/>
      <c r="DA144" s="221"/>
      <c r="DB144" s="221"/>
      <c r="DC144" s="221"/>
      <c r="DD144" s="221"/>
      <c r="DE144" s="221"/>
      <c r="DF144" s="221"/>
      <c r="DG144" s="221"/>
      <c r="DH144" s="221"/>
      <c r="DI144" s="221"/>
      <c r="DJ144" s="221"/>
      <c r="DK144" s="221"/>
      <c r="DL144" s="221"/>
      <c r="DM144" s="221"/>
      <c r="DN144" s="221"/>
      <c r="DO144" s="221"/>
      <c r="DP144" s="221"/>
      <c r="DQ144" s="221"/>
      <c r="DR144" s="221"/>
      <c r="DS144" s="221"/>
      <c r="DT144" s="221"/>
      <c r="DU144" s="221"/>
      <c r="DV144" s="221"/>
      <c r="DW144" s="221"/>
      <c r="DX144" s="221"/>
      <c r="DY144" s="221"/>
      <c r="DZ144" s="221"/>
      <c r="EA144" s="221"/>
      <c r="EB144" s="221"/>
      <c r="EC144" s="221"/>
      <c r="ED144" s="221"/>
      <c r="EE144" s="221"/>
      <c r="EF144" s="221"/>
      <c r="EG144" s="221"/>
      <c r="EH144" s="221"/>
      <c r="EI144" s="221"/>
      <c r="EJ144" s="221"/>
      <c r="EK144" s="221"/>
      <c r="EL144" s="221"/>
      <c r="EM144" s="221"/>
      <c r="EN144" s="221"/>
      <c r="EO144" s="221"/>
      <c r="EP144" s="221"/>
      <c r="EQ144" s="221"/>
      <c r="ER144" s="221"/>
      <c r="ES144" s="222" t="s">
        <v>1304</v>
      </c>
      <c r="ET144" s="273">
        <f>MAX(ET12:ET132)</f>
        <v>4164.8014763678957</v>
      </c>
      <c r="EU144" s="273"/>
      <c r="EV144" s="274">
        <f t="shared" ref="EV144" si="29">MAX(EV12:EV132)</f>
        <v>100</v>
      </c>
      <c r="EW144" s="299">
        <f>MAX(EW12:EW132)</f>
        <v>100</v>
      </c>
      <c r="EX144" s="221"/>
      <c r="EY144" s="221"/>
      <c r="EZ144" s="221"/>
      <c r="FA144" s="221"/>
      <c r="FB144" s="221"/>
      <c r="FC144" s="221"/>
      <c r="FD144" s="221"/>
      <c r="FE144" s="221"/>
      <c r="FF144" s="221"/>
      <c r="FG144" s="221"/>
      <c r="FH144" s="221"/>
      <c r="FI144" s="221"/>
      <c r="FJ144" s="221"/>
      <c r="FK144" s="221"/>
      <c r="FL144" s="221"/>
      <c r="FM144" s="221"/>
      <c r="FN144" s="221"/>
      <c r="FO144" s="221"/>
      <c r="FP144" s="221"/>
      <c r="FQ144" s="221"/>
      <c r="FR144" s="221"/>
      <c r="FS144" s="221"/>
      <c r="FT144" s="221"/>
      <c r="FU144" s="221"/>
      <c r="FV144" s="221"/>
      <c r="FW144" s="221"/>
      <c r="FX144" s="221"/>
      <c r="FY144" s="221"/>
      <c r="FZ144" s="221"/>
      <c r="GA144" s="221"/>
      <c r="GB144" s="221"/>
      <c r="GC144" s="221"/>
      <c r="GD144" s="221"/>
      <c r="GE144" s="221"/>
      <c r="GF144" s="221"/>
      <c r="GG144" s="221"/>
      <c r="GH144" s="221"/>
      <c r="GI144" s="221"/>
      <c r="GJ144" s="221"/>
      <c r="GK144" s="221"/>
      <c r="GL144" s="221"/>
      <c r="GM144" s="221"/>
    </row>
    <row r="145" spans="1:195" s="40" customFormat="1">
      <c r="A145" s="165" t="s">
        <v>1293</v>
      </c>
      <c r="B145" s="221"/>
      <c r="C145" s="221"/>
      <c r="D145" s="221"/>
      <c r="E145" s="221"/>
      <c r="F145" s="221"/>
      <c r="G145" s="221"/>
      <c r="H145" s="221"/>
      <c r="I145" s="221"/>
      <c r="J145" s="221"/>
      <c r="K145" s="221"/>
      <c r="L145" s="226" t="s">
        <v>1055</v>
      </c>
      <c r="M145" s="257">
        <f>COUNTIFS(O12:O133,"&lt;10", O12:O133, "&gt;5")+COUNTIF(O12:O133, 5)</f>
        <v>13</v>
      </c>
      <c r="N145" s="257">
        <f>COUNTIFS(N12:N133,"&lt;10", N12:N133, "&gt;5")+COUNTIF(N12:N133, 5)</f>
        <v>13</v>
      </c>
      <c r="O145" s="251"/>
      <c r="P145" s="275">
        <f>1-(P144/P142)</f>
        <v>0.24391435799473871</v>
      </c>
      <c r="Q145" s="221" t="s">
        <v>1064</v>
      </c>
      <c r="R145" s="221"/>
      <c r="S145" s="221"/>
      <c r="T145" s="221"/>
      <c r="U145" s="221"/>
      <c r="V145" s="221"/>
      <c r="W145" s="221"/>
      <c r="X145" s="221"/>
      <c r="Y145" s="221"/>
      <c r="Z145" s="221"/>
      <c r="AA145" s="221"/>
      <c r="AB145" s="221"/>
      <c r="AC145" s="221"/>
      <c r="AD145" s="221"/>
      <c r="AE145" s="221"/>
      <c r="AF145" s="221"/>
      <c r="AG145" s="221"/>
      <c r="AH145" s="222" t="s">
        <v>1227</v>
      </c>
      <c r="AI145" s="276">
        <f>AI140/AI143</f>
        <v>0.92450597646701671</v>
      </c>
      <c r="AJ145" s="276"/>
      <c r="AK145" s="221"/>
      <c r="AL145" s="221"/>
      <c r="AM145" s="221"/>
      <c r="AN145" s="221"/>
      <c r="AO145" s="221"/>
      <c r="AP145" s="221"/>
      <c r="AQ145" s="221"/>
      <c r="AR145" s="221"/>
      <c r="AS145" s="222" t="s">
        <v>1234</v>
      </c>
      <c r="AT145" s="243">
        <f>AT84+AT50</f>
        <v>40644</v>
      </c>
      <c r="AU145" s="221"/>
      <c r="AV145" s="221"/>
      <c r="AW145" s="221"/>
      <c r="AX145" s="221"/>
      <c r="AY145" s="268">
        <f>AI143-AY144</f>
        <v>357.77594431929174</v>
      </c>
      <c r="AZ145" s="221"/>
      <c r="BA145" s="221"/>
      <c r="BB145" s="221"/>
      <c r="BC145" s="221"/>
      <c r="BD145" s="221"/>
      <c r="BE145" s="221"/>
      <c r="BF145" s="221"/>
      <c r="BG145" s="221"/>
      <c r="BH145" s="221"/>
      <c r="BI145" s="221"/>
      <c r="BJ145" s="221"/>
      <c r="BK145" s="221"/>
      <c r="BL145" s="221"/>
      <c r="BM145" s="221"/>
      <c r="BN145" s="221"/>
      <c r="BO145" s="221"/>
      <c r="BP145" s="226" t="s">
        <v>1320</v>
      </c>
      <c r="BQ145" s="221">
        <f>COUNTIF(BQ12:BQ133,"=0")</f>
        <v>14</v>
      </c>
      <c r="BR145" s="221"/>
      <c r="BS145" s="221"/>
      <c r="BT145" s="221"/>
      <c r="BU145" s="221"/>
      <c r="BV145" s="221"/>
      <c r="BW145" s="221"/>
      <c r="BX145" s="221"/>
      <c r="BY145" s="221"/>
      <c r="BZ145" s="221"/>
      <c r="CA145" s="221"/>
      <c r="CB145" s="221"/>
      <c r="CC145" s="221"/>
      <c r="CD145" s="221"/>
      <c r="CE145" s="221"/>
      <c r="CF145" s="221"/>
      <c r="CG145" s="221"/>
      <c r="CH145" s="221"/>
      <c r="CI145" s="221"/>
      <c r="CJ145" s="221"/>
      <c r="CK145" s="221"/>
      <c r="CL145" s="221"/>
      <c r="CM145" s="221"/>
      <c r="CN145" s="221"/>
      <c r="CO145" s="221"/>
      <c r="CP145" s="221"/>
      <c r="CQ145" s="221"/>
      <c r="CR145" s="221"/>
      <c r="CS145" s="221"/>
      <c r="CT145" s="221"/>
      <c r="CU145" s="221"/>
      <c r="CV145" s="221"/>
      <c r="CW145" s="221"/>
      <c r="CX145" s="221"/>
      <c r="CY145" s="221"/>
      <c r="CZ145" s="221"/>
      <c r="DA145" s="221"/>
      <c r="DB145" s="221"/>
      <c r="DC145" s="221"/>
      <c r="DD145" s="221"/>
      <c r="DE145" s="221"/>
      <c r="DF145" s="221"/>
      <c r="DG145" s="221"/>
      <c r="DH145" s="221"/>
      <c r="DI145" s="221"/>
      <c r="DJ145" s="221"/>
      <c r="DK145" s="221"/>
      <c r="DL145" s="221"/>
      <c r="DM145" s="221"/>
      <c r="DN145" s="221"/>
      <c r="DO145" s="221"/>
      <c r="DP145" s="221"/>
      <c r="DQ145" s="221"/>
      <c r="DR145" s="221"/>
      <c r="DS145" s="221"/>
      <c r="DT145" s="221"/>
      <c r="DU145" s="221"/>
      <c r="DV145" s="221"/>
      <c r="DW145" s="221"/>
      <c r="DX145" s="221"/>
      <c r="DY145" s="221"/>
      <c r="DZ145" s="221"/>
      <c r="EA145" s="221"/>
      <c r="EB145" s="221"/>
      <c r="EC145" s="221"/>
      <c r="ED145" s="221"/>
      <c r="EE145" s="221"/>
      <c r="EF145" s="221"/>
      <c r="EG145" s="221"/>
      <c r="EH145" s="221"/>
      <c r="EI145" s="221"/>
      <c r="EJ145" s="221"/>
      <c r="EK145" s="221"/>
      <c r="EL145" s="221"/>
      <c r="EM145" s="221"/>
      <c r="EN145" s="221"/>
      <c r="EO145" s="221"/>
      <c r="EP145" s="221"/>
      <c r="EQ145" s="221"/>
      <c r="ER145" s="221"/>
      <c r="ES145" s="222" t="s">
        <v>1305</v>
      </c>
      <c r="ET145" s="273">
        <f>MIN(ET12:ET132)</f>
        <v>35.299853729887857</v>
      </c>
      <c r="EU145" s="273"/>
      <c r="EV145" s="274">
        <f t="shared" ref="EV145:EW145" si="30">MIN(EV12:EV132)</f>
        <v>-20</v>
      </c>
      <c r="EW145" s="274">
        <f t="shared" si="30"/>
        <v>-20</v>
      </c>
      <c r="EX145" s="221"/>
      <c r="EY145" s="221"/>
      <c r="EZ145" s="221"/>
      <c r="FA145" s="221"/>
      <c r="FB145" s="221"/>
      <c r="FC145" s="221"/>
      <c r="FD145" s="221"/>
      <c r="FE145" s="221"/>
      <c r="FF145" s="221"/>
      <c r="FG145" s="221"/>
      <c r="FH145" s="221"/>
      <c r="FI145" s="221"/>
      <c r="FJ145" s="221"/>
      <c r="FK145" s="221"/>
      <c r="FL145" s="221"/>
      <c r="FM145" s="221"/>
      <c r="FN145" s="221"/>
      <c r="FO145" s="221"/>
      <c r="FP145" s="221"/>
      <c r="FQ145" s="221"/>
      <c r="FR145" s="221"/>
      <c r="FS145" s="221"/>
      <c r="FT145" s="221"/>
      <c r="FU145" s="221"/>
      <c r="FV145" s="221"/>
      <c r="FW145" s="221"/>
      <c r="FX145" s="221"/>
      <c r="FY145" s="221"/>
      <c r="FZ145" s="221"/>
      <c r="GA145" s="221"/>
      <c r="GB145" s="221"/>
      <c r="GC145" s="221"/>
      <c r="GD145" s="221"/>
      <c r="GE145" s="221"/>
      <c r="GF145" s="221"/>
      <c r="GG145" s="221"/>
      <c r="GH145" s="221"/>
      <c r="GI145" s="221"/>
      <c r="GJ145" s="221"/>
      <c r="GK145" s="221"/>
      <c r="GL145" s="221"/>
      <c r="GM145" s="221"/>
    </row>
    <row r="146" spans="1:195" s="40" customFormat="1">
      <c r="A146" s="166" t="s">
        <v>1295</v>
      </c>
      <c r="B146" s="221"/>
      <c r="C146" s="221"/>
      <c r="D146" s="221"/>
      <c r="E146" s="221"/>
      <c r="F146" s="221"/>
      <c r="G146" s="221"/>
      <c r="H146" s="221"/>
      <c r="I146" s="221"/>
      <c r="J146" s="221"/>
      <c r="K146" s="221"/>
      <c r="L146" s="226" t="s">
        <v>1057</v>
      </c>
      <c r="M146" s="257">
        <f>COUNTIFS(O12:O133,"&lt;20", O12:O133, "&gt;10")+COUNTIF(O12:O133, 10)</f>
        <v>4</v>
      </c>
      <c r="N146" s="257">
        <f>COUNTIFS(N12:N133,"&lt;20", N12:N133, "&gt;10")+COUNTIF(N12:N133, 10)</f>
        <v>4</v>
      </c>
      <c r="O146" s="251"/>
      <c r="P146" s="261">
        <f>P142/P143</f>
        <v>0.95972075726842465</v>
      </c>
      <c r="Q146" s="221" t="s">
        <v>1066</v>
      </c>
      <c r="R146" s="221"/>
      <c r="S146" s="221"/>
      <c r="T146" s="221"/>
      <c r="U146" s="221"/>
      <c r="V146" s="221"/>
      <c r="W146" s="221"/>
      <c r="X146" s="221"/>
      <c r="Y146" s="221"/>
      <c r="Z146" s="221"/>
      <c r="AA146" s="221"/>
      <c r="AB146" s="221"/>
      <c r="AC146" s="221"/>
      <c r="AD146" s="221"/>
      <c r="AE146" s="221"/>
      <c r="AF146" s="221"/>
      <c r="AG146" s="221"/>
      <c r="AH146" s="222" t="s">
        <v>1232</v>
      </c>
      <c r="AI146" s="261">
        <f>AI84/AI143</f>
        <v>0.18996189976103955</v>
      </c>
      <c r="AJ146" s="221"/>
      <c r="AK146" s="221"/>
      <c r="AL146" s="221"/>
      <c r="AM146" s="221"/>
      <c r="AN146" s="221"/>
      <c r="AO146" s="221"/>
      <c r="AP146" s="221"/>
      <c r="AQ146" s="221"/>
      <c r="AR146" s="221"/>
      <c r="AS146" s="221" t="s">
        <v>1237</v>
      </c>
      <c r="AT146" s="243">
        <f>AT40</f>
        <v>19185.733865268729</v>
      </c>
      <c r="AU146" s="221"/>
      <c r="AV146" s="221"/>
      <c r="AW146" s="221"/>
      <c r="AX146" s="221"/>
      <c r="AY146" s="268">
        <f>AY135+AY145</f>
        <v>2011.7239014928921</v>
      </c>
      <c r="AZ146" s="221"/>
      <c r="BA146" s="221"/>
      <c r="BB146" s="221"/>
      <c r="BC146" s="221"/>
      <c r="BD146" s="221"/>
      <c r="BE146" s="221"/>
      <c r="BF146" s="221"/>
      <c r="BG146" s="221"/>
      <c r="BH146" s="221"/>
      <c r="BI146" s="221"/>
      <c r="BJ146" s="221"/>
      <c r="BK146" s="221"/>
      <c r="BL146" s="221"/>
      <c r="BM146" s="221"/>
      <c r="BN146" s="221"/>
      <c r="BO146" s="221"/>
      <c r="BP146" s="221"/>
      <c r="BQ146" s="288">
        <f>SUM(BQ139:BQ145)</f>
        <v>64</v>
      </c>
      <c r="BR146" s="221"/>
      <c r="BS146" s="221"/>
      <c r="BT146" s="221"/>
      <c r="BU146" s="221"/>
      <c r="BV146" s="221"/>
      <c r="BW146" s="221"/>
      <c r="BX146" s="221"/>
      <c r="BY146" s="221"/>
      <c r="BZ146" s="221"/>
      <c r="CA146" s="221"/>
      <c r="CB146" s="221"/>
      <c r="CC146" s="221"/>
      <c r="CD146" s="221"/>
      <c r="CE146" s="221"/>
      <c r="CF146" s="221"/>
      <c r="CG146" s="221"/>
      <c r="CH146" s="221"/>
      <c r="CI146" s="221"/>
      <c r="CJ146" s="221"/>
      <c r="CK146" s="221"/>
      <c r="CL146" s="221"/>
      <c r="CM146" s="221"/>
      <c r="CN146" s="221"/>
      <c r="CO146" s="221"/>
      <c r="CP146" s="221"/>
      <c r="CQ146" s="221"/>
      <c r="CR146" s="221"/>
      <c r="CS146" s="221"/>
      <c r="CT146" s="221"/>
      <c r="CU146" s="221"/>
      <c r="CV146" s="221"/>
      <c r="CW146" s="221"/>
      <c r="CX146" s="221"/>
      <c r="CY146" s="221"/>
      <c r="CZ146" s="221"/>
      <c r="DA146" s="221"/>
      <c r="DB146" s="221"/>
      <c r="DC146" s="221"/>
      <c r="DD146" s="221"/>
      <c r="DE146" s="221"/>
      <c r="DF146" s="221"/>
      <c r="DG146" s="221"/>
      <c r="DH146" s="221"/>
      <c r="DI146" s="221"/>
      <c r="DJ146" s="221"/>
      <c r="DK146" s="221"/>
      <c r="DL146" s="221"/>
      <c r="DM146" s="221"/>
      <c r="DN146" s="221"/>
      <c r="DO146" s="221"/>
      <c r="DP146" s="221"/>
      <c r="DQ146" s="221"/>
      <c r="DR146" s="221"/>
      <c r="DS146" s="221"/>
      <c r="DT146" s="221"/>
      <c r="DU146" s="221"/>
      <c r="DV146" s="221"/>
      <c r="DW146" s="221"/>
      <c r="DX146" s="221"/>
      <c r="DY146" s="221"/>
      <c r="DZ146" s="221"/>
      <c r="EA146" s="221"/>
      <c r="EB146" s="221"/>
      <c r="EC146" s="221"/>
      <c r="ED146" s="221"/>
      <c r="EE146" s="221"/>
      <c r="EF146" s="221"/>
      <c r="EG146" s="221"/>
      <c r="EH146" s="221"/>
      <c r="EI146" s="221"/>
      <c r="EJ146" s="221"/>
      <c r="EK146" s="221"/>
      <c r="EL146" s="221"/>
      <c r="EM146" s="221"/>
      <c r="EN146" s="221"/>
      <c r="EO146" s="221"/>
      <c r="EP146" s="221"/>
      <c r="EQ146" s="221"/>
      <c r="ER146" s="221"/>
      <c r="ES146" s="221"/>
      <c r="ET146" s="221"/>
      <c r="EU146" s="221"/>
      <c r="EV146" s="221"/>
      <c r="EW146" s="221"/>
      <c r="EX146" s="221"/>
      <c r="EY146" s="221"/>
      <c r="EZ146" s="221"/>
      <c r="FA146" s="221"/>
      <c r="FB146" s="221"/>
      <c r="FC146" s="221"/>
      <c r="FD146" s="221"/>
      <c r="FE146" s="221"/>
      <c r="FF146" s="221"/>
      <c r="FG146" s="221"/>
      <c r="FH146" s="221"/>
      <c r="FI146" s="221"/>
      <c r="FJ146" s="221"/>
      <c r="FK146" s="221"/>
      <c r="FL146" s="221"/>
      <c r="FM146" s="221"/>
      <c r="FN146" s="221"/>
      <c r="FO146" s="221"/>
      <c r="FP146" s="221"/>
      <c r="FQ146" s="221"/>
      <c r="FR146" s="221"/>
      <c r="FS146" s="221"/>
      <c r="FT146" s="221"/>
      <c r="FU146" s="221"/>
      <c r="FV146" s="221"/>
      <c r="FW146" s="221"/>
      <c r="FX146" s="221"/>
      <c r="FY146" s="221"/>
      <c r="FZ146" s="221"/>
      <c r="GA146" s="221"/>
      <c r="GB146" s="221"/>
      <c r="GC146" s="221"/>
      <c r="GD146" s="221"/>
      <c r="GE146" s="221"/>
      <c r="GF146" s="221"/>
      <c r="GG146" s="221"/>
      <c r="GH146" s="221"/>
      <c r="GI146" s="221"/>
      <c r="GJ146" s="221"/>
      <c r="GK146" s="221"/>
      <c r="GL146" s="221"/>
      <c r="GM146" s="221"/>
    </row>
    <row r="147" spans="1:195" s="40" customFormat="1">
      <c r="A147" s="167" t="s">
        <v>1294</v>
      </c>
      <c r="B147" s="221"/>
      <c r="C147" s="221"/>
      <c r="D147" s="221"/>
      <c r="E147" s="221"/>
      <c r="F147" s="221"/>
      <c r="G147" s="221"/>
      <c r="H147" s="221"/>
      <c r="I147" s="221"/>
      <c r="J147" s="221"/>
      <c r="K147" s="221"/>
      <c r="L147" s="226" t="s">
        <v>1056</v>
      </c>
      <c r="M147" s="257">
        <f>COUNTIF(O12:O133,"&gt;20")</f>
        <v>11</v>
      </c>
      <c r="N147" s="257">
        <f>COUNTIF(N12:N133,"&gt;20")</f>
        <v>11</v>
      </c>
      <c r="O147" s="251"/>
      <c r="P147" s="247">
        <f>P142*(1-P152)</f>
        <v>4806574.9851165768</v>
      </c>
      <c r="Q147" s="221" t="s">
        <v>1088</v>
      </c>
      <c r="R147" s="221"/>
      <c r="S147" s="221"/>
      <c r="T147" s="221"/>
      <c r="U147" s="221"/>
      <c r="V147" s="221"/>
      <c r="W147" s="221"/>
      <c r="X147" s="221"/>
      <c r="Y147" s="221"/>
      <c r="Z147" s="221"/>
      <c r="AA147" s="221"/>
      <c r="AB147" s="221"/>
      <c r="AC147" s="221"/>
      <c r="AD147" s="221"/>
      <c r="AE147" s="221"/>
      <c r="AF147" s="221"/>
      <c r="AG147" s="221"/>
      <c r="AH147" s="221"/>
      <c r="AI147" s="221"/>
      <c r="AJ147" s="221"/>
      <c r="AK147" s="221"/>
      <c r="AL147" s="221"/>
      <c r="AM147" s="221"/>
      <c r="AN147" s="221"/>
      <c r="AO147" s="221"/>
      <c r="AP147" s="221"/>
      <c r="AQ147" s="221"/>
      <c r="AR147" s="221"/>
      <c r="AS147" s="222" t="s">
        <v>1235</v>
      </c>
      <c r="AT147" s="268">
        <f>AT135-AT144-AT145-AT146</f>
        <v>3805.1738766323433</v>
      </c>
      <c r="AU147" s="221"/>
      <c r="AV147" s="221"/>
      <c r="AW147" s="221"/>
      <c r="AX147" s="221"/>
      <c r="AY147" s="221"/>
      <c r="AZ147" s="221"/>
      <c r="BA147" s="221"/>
      <c r="BB147" s="221"/>
      <c r="BC147" s="221"/>
      <c r="BD147" s="221"/>
      <c r="BE147" s="221"/>
      <c r="BF147" s="221"/>
      <c r="BG147" s="221"/>
      <c r="BH147" s="221"/>
      <c r="BI147" s="221"/>
      <c r="BJ147" s="221"/>
      <c r="BK147" s="221"/>
      <c r="BL147" s="221"/>
      <c r="BM147" s="221"/>
      <c r="BN147" s="221"/>
      <c r="BR147" s="221"/>
      <c r="BS147" s="221"/>
      <c r="BT147" s="221"/>
      <c r="BU147" s="221"/>
      <c r="BV147" s="221"/>
      <c r="BW147" s="221"/>
      <c r="BX147" s="221"/>
      <c r="BY147" s="221"/>
      <c r="BZ147" s="221"/>
      <c r="CA147" s="221"/>
      <c r="CB147" s="221"/>
      <c r="CC147" s="221"/>
      <c r="CD147" s="221"/>
      <c r="CE147" s="221"/>
      <c r="CF147" s="221"/>
      <c r="CG147" s="221"/>
      <c r="CH147" s="221"/>
      <c r="CI147" s="221"/>
      <c r="CJ147" s="221"/>
      <c r="CK147" s="221"/>
      <c r="CL147" s="221"/>
      <c r="CM147" s="221"/>
      <c r="CN147" s="221"/>
      <c r="CO147" s="221"/>
      <c r="CP147" s="221"/>
      <c r="CQ147" s="221"/>
      <c r="CR147" s="221"/>
      <c r="CS147" s="221"/>
      <c r="CT147" s="221"/>
      <c r="CU147" s="221"/>
      <c r="CV147" s="221"/>
      <c r="CW147" s="221"/>
      <c r="CX147" s="221"/>
      <c r="CY147" s="221"/>
      <c r="CZ147" s="221"/>
      <c r="DA147" s="221"/>
      <c r="DB147" s="221"/>
      <c r="DC147" s="221"/>
      <c r="DD147" s="221"/>
      <c r="DE147" s="221"/>
      <c r="DF147" s="221"/>
      <c r="DG147" s="221"/>
      <c r="DH147" s="221"/>
      <c r="DI147" s="221"/>
      <c r="DJ147" s="221"/>
      <c r="DK147" s="221"/>
      <c r="DL147" s="221"/>
      <c r="DM147" s="221"/>
      <c r="DN147" s="221"/>
      <c r="DO147" s="221"/>
      <c r="DP147" s="221"/>
      <c r="DQ147" s="221"/>
      <c r="DR147" s="221"/>
      <c r="DS147" s="221"/>
      <c r="DT147" s="221"/>
      <c r="DU147" s="221"/>
      <c r="DV147" s="221"/>
      <c r="DW147" s="221"/>
      <c r="DX147" s="221"/>
      <c r="DY147" s="221"/>
      <c r="DZ147" s="221"/>
      <c r="EA147" s="221"/>
      <c r="EB147" s="221"/>
      <c r="EC147" s="221"/>
      <c r="ED147" s="221"/>
      <c r="EE147" s="221"/>
      <c r="EF147" s="221"/>
      <c r="EG147" s="221"/>
      <c r="EH147" s="221"/>
      <c r="EI147" s="221"/>
      <c r="EJ147" s="221"/>
      <c r="EK147" s="221"/>
      <c r="EL147" s="221"/>
      <c r="EM147" s="221"/>
      <c r="EN147" s="221"/>
      <c r="EO147" s="221"/>
      <c r="EP147" s="221"/>
      <c r="EQ147" s="221"/>
      <c r="ER147" s="221"/>
      <c r="ES147" s="221"/>
      <c r="ET147" s="221"/>
      <c r="EU147" s="221"/>
      <c r="EV147" s="221"/>
      <c r="EW147" s="221"/>
      <c r="EX147" s="221"/>
      <c r="EY147" s="221"/>
      <c r="EZ147" s="221"/>
      <c r="FA147" s="221"/>
      <c r="FB147" s="221"/>
      <c r="FC147" s="221"/>
      <c r="FD147" s="221"/>
      <c r="FE147" s="221"/>
      <c r="FF147" s="221"/>
      <c r="FG147" s="221"/>
      <c r="FH147" s="221"/>
      <c r="FI147" s="221"/>
      <c r="FJ147" s="221"/>
      <c r="FK147" s="221"/>
      <c r="FL147" s="221"/>
      <c r="FM147" s="221"/>
      <c r="FN147" s="221"/>
      <c r="FO147" s="221"/>
      <c r="FP147" s="221"/>
      <c r="FQ147" s="221"/>
      <c r="FR147" s="221"/>
      <c r="FS147" s="221"/>
      <c r="FT147" s="221"/>
      <c r="FU147" s="221"/>
      <c r="FV147" s="221"/>
      <c r="FW147" s="221"/>
      <c r="FX147" s="221"/>
      <c r="FY147" s="221"/>
      <c r="FZ147" s="221"/>
      <c r="GA147" s="221"/>
      <c r="GB147" s="221"/>
      <c r="GC147" s="221"/>
      <c r="GD147" s="221"/>
      <c r="GE147" s="221"/>
      <c r="GF147" s="221"/>
      <c r="GG147" s="221"/>
      <c r="GH147" s="221"/>
      <c r="GI147" s="221"/>
      <c r="GJ147" s="221"/>
      <c r="GK147" s="221"/>
      <c r="GL147" s="221"/>
      <c r="GM147" s="221"/>
    </row>
    <row r="148" spans="1:195" s="40" customFormat="1">
      <c r="A148" s="169" t="s">
        <v>1296</v>
      </c>
      <c r="B148" s="221"/>
      <c r="C148" s="221"/>
      <c r="D148" s="221"/>
      <c r="E148" s="221"/>
      <c r="F148" s="221"/>
      <c r="G148" s="221"/>
      <c r="H148" s="221"/>
      <c r="I148" s="221"/>
      <c r="J148" s="221"/>
      <c r="K148" s="221"/>
      <c r="L148" s="277" t="s">
        <v>1058</v>
      </c>
      <c r="M148" s="278">
        <f>M142+M143+M144+M145+M146+M147</f>
        <v>85</v>
      </c>
      <c r="N148" s="278">
        <f>N142+N143+N144+N145+N146+N147</f>
        <v>122</v>
      </c>
      <c r="O148" s="251"/>
      <c r="P148" s="261">
        <f>P147/P143</f>
        <v>0.69640321430260455</v>
      </c>
      <c r="Q148" s="221" t="s">
        <v>1067</v>
      </c>
      <c r="R148" s="221"/>
      <c r="S148" s="221"/>
      <c r="T148" s="221"/>
      <c r="U148" s="221"/>
      <c r="V148" s="221"/>
      <c r="W148" s="221"/>
      <c r="X148" s="221"/>
      <c r="Y148" s="221"/>
      <c r="Z148" s="221"/>
      <c r="AA148" s="221"/>
      <c r="AB148" s="221"/>
      <c r="AC148" s="221"/>
      <c r="AD148" s="221"/>
      <c r="AE148" s="221"/>
      <c r="AF148" s="221"/>
      <c r="AG148" s="221"/>
      <c r="AH148" s="221"/>
      <c r="AI148" s="290" t="s">
        <v>1326</v>
      </c>
      <c r="AJ148" s="222" t="s">
        <v>1327</v>
      </c>
      <c r="AK148" s="265" t="s">
        <v>1328</v>
      </c>
      <c r="AL148" s="221"/>
      <c r="AM148" s="221"/>
      <c r="AN148" s="221"/>
      <c r="AO148" s="221"/>
      <c r="AP148" s="221"/>
      <c r="AQ148" s="221"/>
      <c r="AR148" s="221"/>
      <c r="AS148" s="221"/>
      <c r="AT148" s="221"/>
      <c r="AU148" s="221"/>
      <c r="AV148" s="221"/>
      <c r="AW148" s="221"/>
      <c r="AX148" s="221"/>
      <c r="AY148" s="221"/>
      <c r="AZ148" s="221"/>
      <c r="BA148" s="221"/>
      <c r="BB148" s="221"/>
      <c r="BC148" s="221"/>
      <c r="BD148" s="221"/>
      <c r="BE148" s="221"/>
      <c r="BF148" s="221"/>
      <c r="BG148" s="221"/>
      <c r="BH148" s="221"/>
      <c r="BI148" s="221"/>
      <c r="BJ148" s="221"/>
      <c r="BK148" s="221"/>
      <c r="BL148" s="221"/>
      <c r="BM148" s="221"/>
      <c r="BN148" s="221"/>
      <c r="BO148" s="221"/>
      <c r="BP148" s="221"/>
      <c r="BQ148" s="221"/>
      <c r="BR148" s="221"/>
      <c r="BS148" s="221"/>
      <c r="BT148" s="221"/>
      <c r="BU148" s="221"/>
      <c r="BV148" s="221"/>
      <c r="BW148" s="221"/>
      <c r="BX148" s="221"/>
      <c r="BY148" s="221"/>
      <c r="BZ148" s="221"/>
      <c r="CA148" s="221"/>
      <c r="CB148" s="221"/>
      <c r="CC148" s="221"/>
      <c r="CD148" s="221"/>
      <c r="CE148" s="221"/>
      <c r="CF148" s="221"/>
      <c r="CG148" s="221"/>
      <c r="CH148" s="221"/>
      <c r="CI148" s="221"/>
      <c r="CJ148" s="221"/>
      <c r="CK148" s="221"/>
      <c r="CL148" s="221"/>
      <c r="CM148" s="221"/>
      <c r="CN148" s="221"/>
      <c r="CO148" s="221"/>
      <c r="CP148" s="221"/>
      <c r="CQ148" s="221"/>
      <c r="CR148" s="221"/>
      <c r="CS148" s="221"/>
      <c r="CT148" s="221"/>
      <c r="CU148" s="221"/>
      <c r="CV148" s="221"/>
      <c r="CW148" s="221"/>
      <c r="CX148" s="221"/>
      <c r="CY148" s="221"/>
      <c r="CZ148" s="221"/>
      <c r="DA148" s="221"/>
      <c r="DB148" s="221"/>
      <c r="DC148" s="221"/>
      <c r="DD148" s="221"/>
      <c r="DE148" s="221"/>
      <c r="DF148" s="221"/>
      <c r="DG148" s="221"/>
      <c r="DH148" s="221"/>
      <c r="DI148" s="221"/>
      <c r="DJ148" s="221"/>
      <c r="DK148" s="221"/>
      <c r="DL148" s="221"/>
      <c r="DM148" s="221"/>
      <c r="DN148" s="221"/>
      <c r="DO148" s="221"/>
      <c r="DP148" s="221"/>
      <c r="DQ148" s="221"/>
      <c r="DR148" s="221"/>
      <c r="DS148" s="221"/>
      <c r="DT148" s="221"/>
      <c r="DU148" s="221"/>
      <c r="DV148" s="221"/>
      <c r="DW148" s="221"/>
      <c r="DX148" s="221"/>
      <c r="DY148" s="221"/>
      <c r="DZ148" s="221"/>
      <c r="EA148" s="221"/>
      <c r="EB148" s="221"/>
      <c r="EC148" s="221"/>
      <c r="ED148" s="221"/>
      <c r="EE148" s="221"/>
      <c r="EF148" s="221"/>
      <c r="EG148" s="221"/>
      <c r="EH148" s="221"/>
      <c r="EI148" s="221"/>
      <c r="EJ148" s="221"/>
      <c r="EK148" s="221"/>
      <c r="EL148" s="221"/>
      <c r="EM148" s="221"/>
      <c r="EN148" s="221"/>
      <c r="EO148" s="221"/>
      <c r="EP148" s="221"/>
      <c r="EQ148" s="221"/>
      <c r="ER148" s="221"/>
      <c r="ES148" s="221"/>
      <c r="ET148" s="221"/>
      <c r="EU148" s="221"/>
      <c r="EV148" s="221"/>
      <c r="EW148" s="221"/>
      <c r="EX148" s="221"/>
      <c r="EY148" s="221"/>
      <c r="EZ148" s="221"/>
      <c r="FA148" s="221"/>
      <c r="FB148" s="221"/>
      <c r="FC148" s="221"/>
      <c r="FD148" s="221"/>
      <c r="FE148" s="221"/>
      <c r="FF148" s="221"/>
      <c r="FG148" s="221"/>
      <c r="FH148" s="221"/>
      <c r="FI148" s="221"/>
      <c r="FJ148" s="221"/>
      <c r="FK148" s="221"/>
      <c r="FL148" s="221"/>
      <c r="FM148" s="221"/>
      <c r="FN148" s="221"/>
      <c r="FO148" s="221"/>
      <c r="FP148" s="221"/>
      <c r="FQ148" s="221"/>
      <c r="FR148" s="221"/>
      <c r="FS148" s="221"/>
      <c r="FT148" s="221"/>
      <c r="FU148" s="221"/>
      <c r="FV148" s="221"/>
      <c r="FW148" s="221"/>
      <c r="FX148" s="221"/>
      <c r="FY148" s="221"/>
      <c r="FZ148" s="221"/>
      <c r="GA148" s="221"/>
      <c r="GB148" s="221"/>
      <c r="GC148" s="221"/>
      <c r="GD148" s="221"/>
      <c r="GE148" s="221"/>
      <c r="GF148" s="221"/>
      <c r="GG148" s="221"/>
      <c r="GH148" s="221"/>
      <c r="GI148" s="221"/>
      <c r="GJ148" s="221"/>
      <c r="GK148" s="221"/>
      <c r="GL148" s="221"/>
      <c r="GM148" s="221"/>
    </row>
    <row r="149" spans="1:195" s="221" customFormat="1">
      <c r="A149" s="170" t="s">
        <v>1297</v>
      </c>
      <c r="L149" s="226" t="s">
        <v>1076</v>
      </c>
      <c r="M149" s="221">
        <f>M145+M146+M147</f>
        <v>28</v>
      </c>
      <c r="N149" s="221">
        <f>N145+N146+N147</f>
        <v>28</v>
      </c>
      <c r="P149" s="261">
        <f>(P146+P148)/2</f>
        <v>0.8280619857855146</v>
      </c>
      <c r="Q149" s="221" t="s">
        <v>1068</v>
      </c>
      <c r="AH149" s="222" t="s">
        <v>1324</v>
      </c>
      <c r="AI149" s="247">
        <f>AI15+AI21+AI22+AI32+AI38+AI52+AI53+AI54+AI56+AI61+AI90+AI96+AI98+AI106+AI112+AI115+AI118+AI125+AI127+AI132</f>
        <v>18760.094456660368</v>
      </c>
      <c r="AJ149" s="243">
        <f>AI149/0.05*2000/8.35</f>
        <v>89868715.960049659</v>
      </c>
      <c r="AK149" s="268">
        <f>AJ149/365</f>
        <v>246215.66016451962</v>
      </c>
      <c r="AS149" s="221" t="s">
        <v>1316</v>
      </c>
      <c r="AT149" s="286">
        <f>AT135/180800</f>
        <v>0.37970573088540371</v>
      </c>
      <c r="AU149" s="286">
        <f t="shared" ref="AU149:AY149" si="31">AU135/180800</f>
        <v>0.43336627722162629</v>
      </c>
      <c r="AV149" s="286">
        <f t="shared" si="31"/>
        <v>0.17185670513489246</v>
      </c>
      <c r="AW149" s="286">
        <f t="shared" si="31"/>
        <v>3.9412494840249035E-3</v>
      </c>
      <c r="AX149" s="286">
        <f t="shared" si="31"/>
        <v>0</v>
      </c>
      <c r="AY149" s="286">
        <f t="shared" si="31"/>
        <v>9.1479422410044274E-3</v>
      </c>
    </row>
    <row r="150" spans="1:195" s="221" customFormat="1">
      <c r="A150" s="171" t="s">
        <v>1298</v>
      </c>
      <c r="O150" s="222" t="s">
        <v>1065</v>
      </c>
      <c r="P150" s="282">
        <v>4365705</v>
      </c>
      <c r="Q150" s="221" t="s">
        <v>612</v>
      </c>
      <c r="AH150" s="222" t="s">
        <v>1325</v>
      </c>
      <c r="AI150" s="247">
        <f>AI16+AI17+AI27+AI28+AI30+AI41+AI49+AI51+AI64+AI65+AI66+AI82+AI89+AI92+AI94+AI95+AI110+AI113+AI114+AI117+AI116+(AI149)</f>
        <v>22664.672723941672</v>
      </c>
      <c r="AJ150" s="243">
        <f t="shared" ref="AJ150:AJ151" si="32">AI150/0.05*2000/8.35</f>
        <v>108573282.50990023</v>
      </c>
      <c r="AK150" s="268">
        <f t="shared" ref="AK150:AK151" si="33">AJ150/365</f>
        <v>297461.04797232937</v>
      </c>
      <c r="AU150" s="265"/>
    </row>
    <row r="151" spans="1:195" s="221" customFormat="1">
      <c r="A151" s="172" t="s">
        <v>1299</v>
      </c>
      <c r="O151" s="222" t="s">
        <v>980</v>
      </c>
      <c r="P151" s="243">
        <v>6016425</v>
      </c>
      <c r="Q151" s="221" t="s">
        <v>613</v>
      </c>
      <c r="AH151" s="222" t="s">
        <v>1329</v>
      </c>
      <c r="AI151" s="243">
        <f>AI15+AI52+AI53+AI54+AI56+AI61+AI90+AI92+AI95+AI96+AI98+AI112+AI114+AI113+AI116+AI127+AI132+AI115</f>
        <v>17758.208242713932</v>
      </c>
      <c r="AJ151" s="243">
        <f t="shared" si="32"/>
        <v>85069261.042940989</v>
      </c>
      <c r="AK151" s="268">
        <f t="shared" si="33"/>
        <v>233066.46861079722</v>
      </c>
      <c r="AT151" s="268">
        <f>AT144+AT145</f>
        <v>45659.888402179917</v>
      </c>
    </row>
    <row r="152" spans="1:195" s="28" customFormat="1">
      <c r="A152" s="174" t="s">
        <v>1300</v>
      </c>
      <c r="P152" s="227">
        <f>1-(P150/P151)</f>
        <v>0.27436891509492767</v>
      </c>
      <c r="Q152" s="28" t="s">
        <v>614</v>
      </c>
      <c r="AH152" s="292" t="s">
        <v>1333</v>
      </c>
      <c r="AI152" s="293">
        <f>AI128+AI126+AI119+AI109+AI103+AI101+AI88+AI77+AI75+AI74+AI73+AI72+AI71+AI63+AI60+AI42+AI29</f>
        <v>15745.839301633248</v>
      </c>
      <c r="AJ152" s="243">
        <f t="shared" ref="AJ152" si="34">AI152/0.05*2000/8.35</f>
        <v>75429170.307225138</v>
      </c>
      <c r="AK152" s="268">
        <f t="shared" ref="AK152" si="35">AJ152/365</f>
        <v>206655.26111568531</v>
      </c>
      <c r="FW152" s="221"/>
    </row>
    <row r="153" spans="1:195">
      <c r="A153" s="177" t="s">
        <v>1301</v>
      </c>
      <c r="AH153" s="292" t="s">
        <v>1334</v>
      </c>
      <c r="AI153" s="293">
        <f>AI111+AI70+AI68+AI55+AI45+AI34+AI23+AI12</f>
        <v>21289.882879628683</v>
      </c>
      <c r="AJ153" s="243">
        <f t="shared" ref="AJ153" si="36">AI153/0.05*2000/8.35</f>
        <v>101987462.89642483</v>
      </c>
      <c r="AK153" s="268">
        <f t="shared" ref="AK153" si="37">AJ153/365</f>
        <v>279417.7065655475</v>
      </c>
      <c r="AT153" s="298"/>
    </row>
    <row r="154" spans="1:195">
      <c r="A154" s="184" t="s">
        <v>1302</v>
      </c>
    </row>
    <row r="155" spans="1:195">
      <c r="A155" s="289" t="s">
        <v>1303</v>
      </c>
    </row>
  </sheetData>
  <sortState xmlns:xlrd2="http://schemas.microsoft.com/office/spreadsheetml/2017/richdata2" ref="A14:GI135">
    <sortCondition ref="A14:A135"/>
  </sortState>
  <pageMargins left="0.75" right="0.75" top="1" bottom="1" header="0.5" footer="0.5"/>
  <pageSetup orientation="portrait" horizontalDpi="4294967292" verticalDpi="4294967292"/>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MASTER-MA Sludge Survy Analysis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Amy Barad</cp:lastModifiedBy>
  <dcterms:created xsi:type="dcterms:W3CDTF">2019-07-07T18:11:26Z</dcterms:created>
  <dcterms:modified xsi:type="dcterms:W3CDTF">2020-02-03T19:11:09Z</dcterms:modified>
</cp:coreProperties>
</file>